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" yWindow="271" windowWidth="20602" windowHeight="9310" tabRatio="669"/>
  </bookViews>
  <sheets>
    <sheet name="Overview" sheetId="11" r:id="rId1"/>
    <sheet name="Plow quotes" sheetId="4" r:id="rId2"/>
    <sheet name="Costs - 26 proposed" sheetId="7" r:id="rId3"/>
    <sheet name="Costs - all 70% avg" sheetId="8" state="hidden" r:id="rId4"/>
    <sheet name="Costs - full 70% avg" sheetId="12" state="hidden" r:id="rId5"/>
    <sheet name="Costs - 26 lowest pro" sheetId="9" r:id="rId6"/>
    <sheet name="Costs - 19 lowest pro" sheetId="13" r:id="rId7"/>
    <sheet name="Percentages" sheetId="6" r:id="rId8"/>
    <sheet name="Segments" sheetId="5" r:id="rId9"/>
  </sheets>
  <definedNames>
    <definedName name="_xlnm.Print_Area" localSheetId="6">'Costs - 19 lowest pro'!$B$2:$Z$38</definedName>
    <definedName name="_xlnm.Print_Area" localSheetId="5">'Costs - 26 lowest pro'!$B$2:$Z$38</definedName>
    <definedName name="_xlnm.Print_Area" localSheetId="2">'Costs - 26 proposed'!$B$2:$Z$38</definedName>
    <definedName name="_xlnm.Print_Area" localSheetId="0">Overview!$B$2:$K$16</definedName>
    <definedName name="_xlnm.Print_Area" localSheetId="1">'Plow quotes'!$B$2:$M$38</definedName>
    <definedName name="_xlnm.Print_Area" localSheetId="8">Segments!$A$1:$H$14</definedName>
  </definedNames>
  <calcPr calcId="145621"/>
</workbook>
</file>

<file path=xl/calcChain.xml><?xml version="1.0" encoding="utf-8"?>
<calcChain xmlns="http://schemas.openxmlformats.org/spreadsheetml/2006/main">
  <c r="D8" i="11" l="1"/>
  <c r="K31" i="4" l="1"/>
  <c r="H31" i="4"/>
  <c r="K30" i="4"/>
  <c r="H30" i="4"/>
  <c r="L31" i="4" l="1"/>
  <c r="M31" i="4" s="1"/>
  <c r="Z33" i="13"/>
  <c r="Y33" i="13"/>
  <c r="W33" i="13"/>
  <c r="V33" i="13"/>
  <c r="U33" i="13"/>
  <c r="T33" i="13"/>
  <c r="Z32" i="13"/>
  <c r="Y32" i="13"/>
  <c r="Z31" i="13"/>
  <c r="Y31" i="13"/>
  <c r="Z30" i="13"/>
  <c r="Y30" i="13"/>
  <c r="Z29" i="13"/>
  <c r="Y29" i="13"/>
  <c r="Z28" i="13"/>
  <c r="Y28" i="13"/>
  <c r="Z27" i="13"/>
  <c r="Y27" i="13"/>
  <c r="Z26" i="13"/>
  <c r="Y26" i="13"/>
  <c r="Z25" i="13"/>
  <c r="Y25" i="13"/>
  <c r="Z24" i="13"/>
  <c r="Y24" i="13"/>
  <c r="Z23" i="13"/>
  <c r="Y23" i="13"/>
  <c r="Z22" i="13"/>
  <c r="Y22" i="13"/>
  <c r="Z21" i="13"/>
  <c r="Y21" i="13"/>
  <c r="Z20" i="13"/>
  <c r="Y20" i="13"/>
  <c r="Z19" i="13"/>
  <c r="Y19" i="13"/>
  <c r="Z18" i="13"/>
  <c r="Y18" i="13"/>
  <c r="Z17" i="13"/>
  <c r="Y17" i="13"/>
  <c r="Z16" i="13"/>
  <c r="Y16" i="13"/>
  <c r="Z15" i="13"/>
  <c r="Y15" i="13"/>
  <c r="Z14" i="13"/>
  <c r="Y14" i="13"/>
  <c r="Z13" i="13"/>
  <c r="Y13" i="13"/>
  <c r="Z12" i="13"/>
  <c r="Y12" i="13"/>
  <c r="Z11" i="13"/>
  <c r="Y11" i="13"/>
  <c r="Z10" i="13"/>
  <c r="Y10" i="13"/>
  <c r="Z9" i="13"/>
  <c r="Y9" i="13"/>
  <c r="Z8" i="13"/>
  <c r="Y8" i="13"/>
  <c r="Z7" i="13"/>
  <c r="Y7" i="13"/>
  <c r="Z33" i="8"/>
  <c r="Y33" i="8"/>
  <c r="W33" i="8"/>
  <c r="V33" i="8"/>
  <c r="U33" i="8"/>
  <c r="T33" i="8"/>
  <c r="Z32" i="8"/>
  <c r="Y32" i="8"/>
  <c r="Z31" i="8"/>
  <c r="Y31" i="8"/>
  <c r="Z30" i="8"/>
  <c r="Y30" i="8"/>
  <c r="Z29" i="8"/>
  <c r="Y29" i="8"/>
  <c r="Z28" i="8"/>
  <c r="Y28" i="8"/>
  <c r="Z27" i="8"/>
  <c r="Y27" i="8"/>
  <c r="Z26" i="8"/>
  <c r="Y26" i="8"/>
  <c r="Z25" i="8"/>
  <c r="Y25" i="8"/>
  <c r="Z24" i="8"/>
  <c r="Y24" i="8"/>
  <c r="Z23" i="8"/>
  <c r="Y23" i="8"/>
  <c r="Z22" i="8"/>
  <c r="Y22" i="8"/>
  <c r="Z21" i="8"/>
  <c r="Y21" i="8"/>
  <c r="Z20" i="8"/>
  <c r="Y20" i="8"/>
  <c r="Z19" i="8"/>
  <c r="Y19" i="8"/>
  <c r="Z18" i="8"/>
  <c r="Y18" i="8"/>
  <c r="Z17" i="8"/>
  <c r="Y17" i="8"/>
  <c r="Z16" i="8"/>
  <c r="Y16" i="8"/>
  <c r="Z15" i="8"/>
  <c r="Y15" i="8"/>
  <c r="Z14" i="8"/>
  <c r="Y14" i="8"/>
  <c r="Z13" i="8"/>
  <c r="Y13" i="8"/>
  <c r="Z12" i="8"/>
  <c r="Y12" i="8"/>
  <c r="Z11" i="8"/>
  <c r="Y11" i="8"/>
  <c r="Z10" i="8"/>
  <c r="Y10" i="8"/>
  <c r="Z9" i="8"/>
  <c r="Y9" i="8"/>
  <c r="Z8" i="8"/>
  <c r="Y8" i="8"/>
  <c r="Z7" i="8"/>
  <c r="Y7" i="8"/>
  <c r="F38" i="12"/>
  <c r="S32" i="12" s="1"/>
  <c r="S18" i="12"/>
  <c r="Z33" i="12"/>
  <c r="Y33" i="12"/>
  <c r="W33" i="12"/>
  <c r="V33" i="12"/>
  <c r="U33" i="12"/>
  <c r="T33" i="12"/>
  <c r="Z32" i="12"/>
  <c r="Y32" i="12"/>
  <c r="Z31" i="12"/>
  <c r="Y31" i="12"/>
  <c r="Z30" i="12"/>
  <c r="Y30" i="12"/>
  <c r="Z29" i="12"/>
  <c r="Y29" i="12"/>
  <c r="Z28" i="12"/>
  <c r="Y28" i="12"/>
  <c r="Z27" i="12"/>
  <c r="Y27" i="12"/>
  <c r="Z26" i="12"/>
  <c r="Y26" i="12"/>
  <c r="S26" i="12"/>
  <c r="Z25" i="12"/>
  <c r="Y25" i="12"/>
  <c r="Z24" i="12"/>
  <c r="Y24" i="12"/>
  <c r="Z23" i="12"/>
  <c r="Y23" i="12"/>
  <c r="Z22" i="12"/>
  <c r="Y22" i="12"/>
  <c r="Z21" i="12"/>
  <c r="Y21" i="12"/>
  <c r="Z20" i="12"/>
  <c r="Y20" i="12"/>
  <c r="Z19" i="12"/>
  <c r="Y19" i="12"/>
  <c r="Z18" i="12"/>
  <c r="Y18" i="12"/>
  <c r="Z17" i="12"/>
  <c r="Y17" i="12"/>
  <c r="Z16" i="12"/>
  <c r="Y16" i="12"/>
  <c r="Z15" i="12"/>
  <c r="Y15" i="12"/>
  <c r="Z14" i="12"/>
  <c r="Y14" i="12"/>
  <c r="Z13" i="12"/>
  <c r="Y13" i="12"/>
  <c r="Z12" i="12"/>
  <c r="Y12" i="12"/>
  <c r="Z11" i="12"/>
  <c r="Y11" i="12"/>
  <c r="Z10" i="12"/>
  <c r="Y10" i="12"/>
  <c r="Z9" i="12"/>
  <c r="Y9" i="12"/>
  <c r="Z8" i="12"/>
  <c r="Y8" i="12"/>
  <c r="Z7" i="12"/>
  <c r="Y7" i="12"/>
  <c r="Z33" i="9"/>
  <c r="Y33" i="9"/>
  <c r="W33" i="9"/>
  <c r="V33" i="9"/>
  <c r="U33" i="9"/>
  <c r="T33" i="9"/>
  <c r="Z32" i="9"/>
  <c r="Y32" i="9"/>
  <c r="Z31" i="9"/>
  <c r="Y31" i="9"/>
  <c r="Z30" i="9"/>
  <c r="Y30" i="9"/>
  <c r="Z29" i="9"/>
  <c r="Y29" i="9"/>
  <c r="Z28" i="9"/>
  <c r="Y28" i="9"/>
  <c r="Z27" i="9"/>
  <c r="Y27" i="9"/>
  <c r="Z26" i="9"/>
  <c r="Y26" i="9"/>
  <c r="Z25" i="9"/>
  <c r="Y25" i="9"/>
  <c r="Z24" i="9"/>
  <c r="Y24" i="9"/>
  <c r="Z23" i="9"/>
  <c r="Y23" i="9"/>
  <c r="Z22" i="9"/>
  <c r="Y22" i="9"/>
  <c r="Z21" i="9"/>
  <c r="Y21" i="9"/>
  <c r="Z20" i="9"/>
  <c r="Y20" i="9"/>
  <c r="Z19" i="9"/>
  <c r="Y19" i="9"/>
  <c r="Z18" i="9"/>
  <c r="Y18" i="9"/>
  <c r="Z17" i="9"/>
  <c r="Y17" i="9"/>
  <c r="Z16" i="9"/>
  <c r="Y16" i="9"/>
  <c r="Z15" i="9"/>
  <c r="Y15" i="9"/>
  <c r="Z14" i="9"/>
  <c r="Y14" i="9"/>
  <c r="Z13" i="9"/>
  <c r="Y13" i="9"/>
  <c r="Z12" i="9"/>
  <c r="Y12" i="9"/>
  <c r="Z11" i="9"/>
  <c r="Y11" i="9"/>
  <c r="Z10" i="9"/>
  <c r="Y10" i="9"/>
  <c r="Z9" i="9"/>
  <c r="Y9" i="9"/>
  <c r="Z8" i="9"/>
  <c r="Y8" i="9"/>
  <c r="Z7" i="9"/>
  <c r="Y7" i="9"/>
  <c r="S30" i="7"/>
  <c r="Z33" i="7"/>
  <c r="Y33" i="7"/>
  <c r="W33" i="7"/>
  <c r="V33" i="7"/>
  <c r="U33" i="7"/>
  <c r="T33" i="7"/>
  <c r="S33" i="7"/>
  <c r="Z32" i="7"/>
  <c r="Y32" i="7"/>
  <c r="S32" i="7"/>
  <c r="Z31" i="7"/>
  <c r="Y31" i="7"/>
  <c r="S31" i="7"/>
  <c r="Z30" i="7"/>
  <c r="Y30" i="7"/>
  <c r="Z29" i="7"/>
  <c r="Y29" i="7"/>
  <c r="S29" i="7"/>
  <c r="Z28" i="7"/>
  <c r="Y28" i="7"/>
  <c r="Z27" i="7"/>
  <c r="Y27" i="7"/>
  <c r="Z26" i="7"/>
  <c r="Y26" i="7"/>
  <c r="S26" i="7"/>
  <c r="Z25" i="7"/>
  <c r="Y25" i="7"/>
  <c r="Z24" i="7"/>
  <c r="Y24" i="7"/>
  <c r="S24" i="7"/>
  <c r="Z23" i="7"/>
  <c r="Y23" i="7"/>
  <c r="Z22" i="7"/>
  <c r="Y22" i="7"/>
  <c r="S22" i="7"/>
  <c r="Z21" i="7"/>
  <c r="Y21" i="7"/>
  <c r="Z20" i="7"/>
  <c r="Y20" i="7"/>
  <c r="S20" i="7"/>
  <c r="Z19" i="7"/>
  <c r="Y19" i="7"/>
  <c r="Z18" i="7"/>
  <c r="Y18" i="7"/>
  <c r="S18" i="7"/>
  <c r="Z17" i="7"/>
  <c r="Y17" i="7"/>
  <c r="S17" i="7"/>
  <c r="Z16" i="7"/>
  <c r="Y16" i="7"/>
  <c r="S16" i="7"/>
  <c r="Z15" i="7"/>
  <c r="Y15" i="7"/>
  <c r="S15" i="7"/>
  <c r="Z14" i="7"/>
  <c r="Y14" i="7"/>
  <c r="Z13" i="7"/>
  <c r="Y13" i="7"/>
  <c r="Z12" i="7"/>
  <c r="Y12" i="7"/>
  <c r="S12" i="7"/>
  <c r="Z11" i="7"/>
  <c r="Y11" i="7"/>
  <c r="Z10" i="7"/>
  <c r="Y10" i="7"/>
  <c r="S10" i="7"/>
  <c r="Z9" i="7"/>
  <c r="Y9" i="7"/>
  <c r="S9" i="7"/>
  <c r="Z8" i="7"/>
  <c r="Y8" i="7"/>
  <c r="Z7" i="7"/>
  <c r="Y7" i="7"/>
  <c r="S7" i="7"/>
  <c r="E6" i="5"/>
  <c r="E7" i="5" s="1"/>
  <c r="E8" i="5" s="1"/>
  <c r="E9" i="5" s="1"/>
  <c r="E10" i="5" s="1"/>
  <c r="E11" i="5" s="1"/>
  <c r="C11" i="6"/>
  <c r="I30" i="6"/>
  <c r="H30" i="6"/>
  <c r="D30" i="6"/>
  <c r="C30" i="6"/>
  <c r="I23" i="6"/>
  <c r="H23" i="6"/>
  <c r="D23" i="6"/>
  <c r="I17" i="6"/>
  <c r="Z34" i="8" s="1"/>
  <c r="H17" i="6"/>
  <c r="Y34" i="13" s="1"/>
  <c r="C17" i="6"/>
  <c r="Z5" i="7" l="1"/>
  <c r="Z34" i="13"/>
  <c r="Y34" i="9"/>
  <c r="Y6" i="12"/>
  <c r="Y6" i="13"/>
  <c r="Z34" i="9"/>
  <c r="Y5" i="12"/>
  <c r="Z6" i="12"/>
  <c r="Y5" i="13"/>
  <c r="Z6" i="13"/>
  <c r="Z5" i="12"/>
  <c r="Y34" i="12"/>
  <c r="Z5" i="13"/>
  <c r="Y6" i="9"/>
  <c r="Z34" i="12"/>
  <c r="Y6" i="8"/>
  <c r="Y6" i="7"/>
  <c r="Y34" i="7"/>
  <c r="Y5" i="9"/>
  <c r="Z6" i="9"/>
  <c r="Y5" i="8"/>
  <c r="Z6" i="8"/>
  <c r="Y34" i="8"/>
  <c r="Y5" i="7"/>
  <c r="Z6" i="7"/>
  <c r="Z34" i="7"/>
  <c r="Z5" i="9"/>
  <c r="Z5" i="8"/>
  <c r="S20" i="12"/>
  <c r="S10" i="12"/>
  <c r="S24" i="12"/>
  <c r="S31" i="12"/>
  <c r="S15" i="12"/>
  <c r="S22" i="12"/>
  <c r="S29" i="12"/>
  <c r="S33" i="12"/>
  <c r="S12" i="12"/>
  <c r="S17" i="12"/>
  <c r="S7" i="12"/>
  <c r="S9" i="12"/>
  <c r="S16" i="12"/>
  <c r="S8" i="7"/>
  <c r="S11" i="7"/>
  <c r="S13" i="7"/>
  <c r="S14" i="7"/>
  <c r="S19" i="7"/>
  <c r="S21" i="7"/>
  <c r="S23" i="7"/>
  <c r="S25" i="7"/>
  <c r="S27" i="7"/>
  <c r="S28" i="7"/>
  <c r="F17" i="6"/>
  <c r="J28" i="6"/>
  <c r="D11" i="6"/>
  <c r="J27" i="6"/>
  <c r="E23" i="6"/>
  <c r="G30" i="6"/>
  <c r="F11" i="6"/>
  <c r="E11" i="6"/>
  <c r="H11" i="6"/>
  <c r="J8" i="6"/>
  <c r="G23" i="6"/>
  <c r="G17" i="6"/>
  <c r="E30" i="6"/>
  <c r="F30" i="6"/>
  <c r="F23" i="6"/>
  <c r="J21" i="6"/>
  <c r="D17" i="6"/>
  <c r="E17" i="6"/>
  <c r="I11" i="6"/>
  <c r="J15" i="6"/>
  <c r="C23" i="6"/>
  <c r="Z36" i="7" l="1"/>
  <c r="Y36" i="12"/>
  <c r="Z36" i="13"/>
  <c r="Z36" i="9"/>
  <c r="Y36" i="9"/>
  <c r="Y36" i="7"/>
  <c r="Y36" i="13"/>
  <c r="Z36" i="12"/>
  <c r="Z36" i="8"/>
  <c r="Y36" i="8"/>
  <c r="S36" i="7"/>
  <c r="D11" i="11" s="1"/>
  <c r="J17" i="6"/>
  <c r="E18" i="6" s="1"/>
  <c r="J9" i="6"/>
  <c r="G11" i="6"/>
  <c r="J11" i="6" s="1"/>
  <c r="J30" i="6"/>
  <c r="E31" i="6" s="1"/>
  <c r="J23" i="6"/>
  <c r="G24" i="6" s="1"/>
  <c r="D18" i="6" l="1"/>
  <c r="U9" i="12" s="1"/>
  <c r="C18" i="6"/>
  <c r="V6" i="13"/>
  <c r="V6" i="12"/>
  <c r="V34" i="9"/>
  <c r="V34" i="13"/>
  <c r="V5" i="7"/>
  <c r="V34" i="8"/>
  <c r="V5" i="8"/>
  <c r="V5" i="9"/>
  <c r="V34" i="7"/>
  <c r="V6" i="7"/>
  <c r="V6" i="8"/>
  <c r="V6" i="9"/>
  <c r="V34" i="12"/>
  <c r="V5" i="13"/>
  <c r="V5" i="12"/>
  <c r="V20" i="7"/>
  <c r="V18" i="12"/>
  <c r="V22" i="7"/>
  <c r="V7" i="7"/>
  <c r="V10" i="7"/>
  <c r="V24" i="7"/>
  <c r="V26" i="7"/>
  <c r="V18" i="7"/>
  <c r="V12" i="7"/>
  <c r="V15" i="7"/>
  <c r="V29" i="7"/>
  <c r="V16" i="7"/>
  <c r="V31" i="7"/>
  <c r="V30" i="7"/>
  <c r="V32" i="12"/>
  <c r="V17" i="7"/>
  <c r="V32" i="7"/>
  <c r="V26" i="12"/>
  <c r="V9" i="7"/>
  <c r="V16" i="12"/>
  <c r="V22" i="12"/>
  <c r="V9" i="12"/>
  <c r="V19" i="7"/>
  <c r="V15" i="12"/>
  <c r="V10" i="12"/>
  <c r="V13" i="7"/>
  <c r="V12" i="12"/>
  <c r="V21" i="7"/>
  <c r="V29" i="12"/>
  <c r="V11" i="7"/>
  <c r="V25" i="7"/>
  <c r="V7" i="12"/>
  <c r="V31" i="12"/>
  <c r="V20" i="12"/>
  <c r="V28" i="7"/>
  <c r="V14" i="7"/>
  <c r="V17" i="12"/>
  <c r="V23" i="7"/>
  <c r="V8" i="7"/>
  <c r="V24" i="12"/>
  <c r="V27" i="7"/>
  <c r="T14" i="7"/>
  <c r="U29" i="12"/>
  <c r="H18" i="6"/>
  <c r="T11" i="7"/>
  <c r="U21" i="7"/>
  <c r="U7" i="12"/>
  <c r="T6" i="12"/>
  <c r="T6" i="7"/>
  <c r="T29" i="7"/>
  <c r="T31" i="7"/>
  <c r="T18" i="12"/>
  <c r="T26" i="12"/>
  <c r="T26" i="7"/>
  <c r="T12" i="7"/>
  <c r="T15" i="7"/>
  <c r="T9" i="12"/>
  <c r="I18" i="6"/>
  <c r="U16" i="12"/>
  <c r="T19" i="7"/>
  <c r="G18" i="6"/>
  <c r="U23" i="7"/>
  <c r="T21" i="7"/>
  <c r="F18" i="6"/>
  <c r="T12" i="12"/>
  <c r="T24" i="12"/>
  <c r="U5" i="13"/>
  <c r="U5" i="12"/>
  <c r="U6" i="13"/>
  <c r="U34" i="9"/>
  <c r="U34" i="8"/>
  <c r="U5" i="8"/>
  <c r="U5" i="9"/>
  <c r="U34" i="7"/>
  <c r="U6" i="8"/>
  <c r="U6" i="9"/>
  <c r="U34" i="12"/>
  <c r="U18" i="12"/>
  <c r="U17" i="7"/>
  <c r="U32" i="7"/>
  <c r="U22" i="12"/>
  <c r="U18" i="7"/>
  <c r="U26" i="12"/>
  <c r="U7" i="7"/>
  <c r="U20" i="7"/>
  <c r="U32" i="12"/>
  <c r="U22" i="7"/>
  <c r="U16" i="7"/>
  <c r="U10" i="7"/>
  <c r="U24" i="7"/>
  <c r="U12" i="7"/>
  <c r="U26" i="7"/>
  <c r="U15" i="12"/>
  <c r="U15" i="7"/>
  <c r="U29" i="7"/>
  <c r="U31" i="7"/>
  <c r="U8" i="7"/>
  <c r="U28" i="7"/>
  <c r="T10" i="12"/>
  <c r="U10" i="12"/>
  <c r="F31" i="6"/>
  <c r="C12" i="6"/>
  <c r="F12" i="6"/>
  <c r="D12" i="6"/>
  <c r="G12" i="6"/>
  <c r="E12" i="6"/>
  <c r="I12" i="6"/>
  <c r="D24" i="6"/>
  <c r="H24" i="6"/>
  <c r="E24" i="6"/>
  <c r="I24" i="6"/>
  <c r="H12" i="6"/>
  <c r="C24" i="6"/>
  <c r="H31" i="6"/>
  <c r="C31" i="6"/>
  <c r="I31" i="6"/>
  <c r="D31" i="6"/>
  <c r="G31" i="6"/>
  <c r="F24" i="6"/>
  <c r="J20" i="4"/>
  <c r="G20" i="4"/>
  <c r="G32" i="4" s="1"/>
  <c r="H32" i="4" s="1"/>
  <c r="E20" i="4"/>
  <c r="E32" i="4" s="1"/>
  <c r="D20" i="4"/>
  <c r="D32" i="4" s="1"/>
  <c r="K19" i="4"/>
  <c r="H19" i="4"/>
  <c r="L19" i="4" s="1"/>
  <c r="M19" i="4" s="1"/>
  <c r="K18" i="4"/>
  <c r="H18" i="4"/>
  <c r="E18" i="4"/>
  <c r="E30" i="4" s="1"/>
  <c r="L30" i="4" s="1"/>
  <c r="M30" i="4" s="1"/>
  <c r="D18" i="4"/>
  <c r="D30" i="4" s="1"/>
  <c r="K8" i="4"/>
  <c r="F8" i="4"/>
  <c r="H8" i="4" s="1"/>
  <c r="K7" i="4"/>
  <c r="F7" i="4"/>
  <c r="H7" i="4" s="1"/>
  <c r="L7" i="4" s="1"/>
  <c r="M7" i="4" s="1"/>
  <c r="K6" i="4"/>
  <c r="H6" i="4"/>
  <c r="L8" i="4" l="1"/>
  <c r="M8" i="4" s="1"/>
  <c r="H20" i="4"/>
  <c r="K20" i="4"/>
  <c r="J32" i="4"/>
  <c r="K32" i="4" s="1"/>
  <c r="L32" i="4" s="1"/>
  <c r="M32" i="4" s="1"/>
  <c r="U5" i="7"/>
  <c r="U34" i="13"/>
  <c r="U13" i="7"/>
  <c r="U27" i="7"/>
  <c r="U17" i="12"/>
  <c r="U9" i="7"/>
  <c r="U30" i="7"/>
  <c r="U6" i="7"/>
  <c r="U6" i="12"/>
  <c r="U20" i="12"/>
  <c r="U25" i="7"/>
  <c r="U24" i="12"/>
  <c r="U11" i="7"/>
  <c r="U12" i="12"/>
  <c r="U14" i="7"/>
  <c r="U19" i="7"/>
  <c r="U31" i="12"/>
  <c r="T7" i="12"/>
  <c r="T32" i="7"/>
  <c r="T34" i="7"/>
  <c r="T34" i="13"/>
  <c r="T8" i="7"/>
  <c r="T27" i="7"/>
  <c r="T13" i="7"/>
  <c r="T32" i="12"/>
  <c r="T22" i="12"/>
  <c r="T5" i="9"/>
  <c r="T10" i="7"/>
  <c r="T5" i="12"/>
  <c r="T20" i="12"/>
  <c r="T28" i="7"/>
  <c r="T30" i="7"/>
  <c r="T5" i="8"/>
  <c r="T5" i="13"/>
  <c r="T17" i="12"/>
  <c r="T23" i="7"/>
  <c r="T15" i="12"/>
  <c r="T31" i="12"/>
  <c r="T9" i="7"/>
  <c r="T7" i="7"/>
  <c r="T20" i="7"/>
  <c r="T34" i="8"/>
  <c r="T34" i="12"/>
  <c r="T16" i="12"/>
  <c r="T22" i="7"/>
  <c r="T16" i="7"/>
  <c r="T6" i="9"/>
  <c r="T5" i="7"/>
  <c r="T34" i="9"/>
  <c r="T29" i="12"/>
  <c r="T17" i="7"/>
  <c r="T18" i="7"/>
  <c r="T24" i="7"/>
  <c r="T6" i="8"/>
  <c r="T6" i="13"/>
  <c r="T25" i="7"/>
  <c r="V36" i="7"/>
  <c r="I11" i="11" s="1"/>
  <c r="X9" i="7"/>
  <c r="X34" i="13"/>
  <c r="X5" i="7"/>
  <c r="X34" i="8"/>
  <c r="X5" i="8"/>
  <c r="X5" i="9"/>
  <c r="X34" i="7"/>
  <c r="X6" i="7"/>
  <c r="X6" i="8"/>
  <c r="X6" i="9"/>
  <c r="X10" i="7"/>
  <c r="X34" i="12"/>
  <c r="X24" i="7"/>
  <c r="X5" i="13"/>
  <c r="X5" i="12"/>
  <c r="X6" i="13"/>
  <c r="X6" i="12"/>
  <c r="X34" i="9"/>
  <c r="X15" i="7"/>
  <c r="X32" i="7"/>
  <c r="X33" i="7"/>
  <c r="X31" i="7"/>
  <c r="X15" i="12"/>
  <c r="X16" i="7"/>
  <c r="X17" i="7"/>
  <c r="X29" i="7"/>
  <c r="X22" i="7"/>
  <c r="X7" i="7"/>
  <c r="X18" i="12"/>
  <c r="X30" i="7"/>
  <c r="X32" i="12"/>
  <c r="X18" i="7"/>
  <c r="X12" i="7"/>
  <c r="X26" i="12"/>
  <c r="X20" i="7"/>
  <c r="X26" i="7"/>
  <c r="X13" i="7"/>
  <c r="X16" i="12"/>
  <c r="X9" i="12"/>
  <c r="X14" i="7"/>
  <c r="X11" i="7"/>
  <c r="X27" i="7"/>
  <c r="X8" i="7"/>
  <c r="X20" i="12"/>
  <c r="X23" i="7"/>
  <c r="X24" i="12"/>
  <c r="X21" i="7"/>
  <c r="X31" i="12"/>
  <c r="X12" i="12"/>
  <c r="X10" i="12"/>
  <c r="X29" i="12"/>
  <c r="X28" i="7"/>
  <c r="X17" i="12"/>
  <c r="X33" i="12"/>
  <c r="X22" i="12"/>
  <c r="X19" i="7"/>
  <c r="X7" i="12"/>
  <c r="X25" i="7"/>
  <c r="W34" i="13"/>
  <c r="W5" i="7"/>
  <c r="W34" i="8"/>
  <c r="W5" i="8"/>
  <c r="W5" i="9"/>
  <c r="W34" i="7"/>
  <c r="W6" i="7"/>
  <c r="W6" i="8"/>
  <c r="W6" i="9"/>
  <c r="W34" i="12"/>
  <c r="W5" i="13"/>
  <c r="W5" i="12"/>
  <c r="W7" i="7"/>
  <c r="W6" i="13"/>
  <c r="W6" i="12"/>
  <c r="W34" i="9"/>
  <c r="W24" i="7"/>
  <c r="W31" i="7"/>
  <c r="W32" i="7"/>
  <c r="W26" i="12"/>
  <c r="W15" i="12"/>
  <c r="W18" i="12"/>
  <c r="W12" i="7"/>
  <c r="W15" i="7"/>
  <c r="W20" i="12"/>
  <c r="W22" i="7"/>
  <c r="W22" i="12"/>
  <c r="W26" i="7"/>
  <c r="W32" i="12"/>
  <c r="W9" i="7"/>
  <c r="W17" i="7"/>
  <c r="W10" i="7"/>
  <c r="W20" i="7"/>
  <c r="W30" i="7"/>
  <c r="W18" i="7"/>
  <c r="W16" i="7"/>
  <c r="W29" i="7"/>
  <c r="W16" i="12"/>
  <c r="W27" i="7"/>
  <c r="W11" i="7"/>
  <c r="W31" i="12"/>
  <c r="W10" i="12"/>
  <c r="W17" i="12"/>
  <c r="W9" i="12"/>
  <c r="W25" i="7"/>
  <c r="W14" i="7"/>
  <c r="W7" i="12"/>
  <c r="W21" i="7"/>
  <c r="W12" i="12"/>
  <c r="W23" i="7"/>
  <c r="W8" i="7"/>
  <c r="W19" i="7"/>
  <c r="W13" i="7"/>
  <c r="W24" i="12"/>
  <c r="W29" i="12"/>
  <c r="W28" i="7"/>
  <c r="L6" i="4"/>
  <c r="M6" i="4" s="1"/>
  <c r="L18" i="4"/>
  <c r="L20" i="4" l="1"/>
  <c r="M20" i="4" s="1"/>
  <c r="M36" i="4"/>
  <c r="F37" i="13" s="1"/>
  <c r="M34" i="4"/>
  <c r="M38" i="4" s="1"/>
  <c r="M18" i="4"/>
  <c r="U36" i="7"/>
  <c r="H11" i="11" s="1"/>
  <c r="T36" i="7"/>
  <c r="G11" i="11" s="1"/>
  <c r="M10" i="4"/>
  <c r="M14" i="4" s="1"/>
  <c r="M12" i="4"/>
  <c r="W36" i="7"/>
  <c r="J11" i="11" s="1"/>
  <c r="X36" i="7"/>
  <c r="K11" i="11" s="1"/>
  <c r="M22" i="4" l="1"/>
  <c r="M26" i="4" s="1"/>
  <c r="F38" i="8" s="1"/>
  <c r="M24" i="4"/>
  <c r="F38" i="9" s="1"/>
  <c r="F37" i="12" l="1"/>
  <c r="S25" i="12" s="1"/>
  <c r="F37" i="8"/>
  <c r="S8" i="8" s="1"/>
  <c r="F37" i="9"/>
  <c r="S19" i="9" s="1"/>
  <c r="S23" i="13"/>
  <c r="S20" i="9"/>
  <c r="S7" i="9"/>
  <c r="S22" i="9"/>
  <c r="S15" i="9"/>
  <c r="S26" i="9"/>
  <c r="S24" i="9"/>
  <c r="S16" i="9"/>
  <c r="S31" i="9"/>
  <c r="S32" i="9"/>
  <c r="S33" i="9"/>
  <c r="X33" i="9" s="1"/>
  <c r="S12" i="9"/>
  <c r="S29" i="9"/>
  <c r="S9" i="9"/>
  <c r="S17" i="9"/>
  <c r="S18" i="9"/>
  <c r="S10" i="9"/>
  <c r="S32" i="8"/>
  <c r="S29" i="8"/>
  <c r="S7" i="8"/>
  <c r="S15" i="8"/>
  <c r="S17" i="8"/>
  <c r="S33" i="8"/>
  <c r="X33" i="8" s="1"/>
  <c r="S16" i="8"/>
  <c r="S9" i="8"/>
  <c r="S18" i="8"/>
  <c r="S20" i="8"/>
  <c r="S10" i="8"/>
  <c r="S22" i="8"/>
  <c r="S31" i="8"/>
  <c r="S12" i="8"/>
  <c r="S24" i="8"/>
  <c r="S26" i="8"/>
  <c r="S19" i="13"/>
  <c r="S8" i="13"/>
  <c r="S14" i="13"/>
  <c r="S11" i="13"/>
  <c r="S25" i="13"/>
  <c r="S25" i="8"/>
  <c r="S11" i="12" l="1"/>
  <c r="S8" i="12"/>
  <c r="X8" i="12" s="1"/>
  <c r="S28" i="12"/>
  <c r="W28" i="12" s="1"/>
  <c r="S14" i="12"/>
  <c r="S13" i="12"/>
  <c r="T13" i="12" s="1"/>
  <c r="S30" i="12"/>
  <c r="U30" i="12" s="1"/>
  <c r="S27" i="12"/>
  <c r="S21" i="12"/>
  <c r="W21" i="12" s="1"/>
  <c r="S19" i="12"/>
  <c r="S23" i="12"/>
  <c r="V23" i="12" s="1"/>
  <c r="S30" i="8"/>
  <c r="U30" i="8" s="1"/>
  <c r="S11" i="8"/>
  <c r="V11" i="8" s="1"/>
  <c r="S28" i="8"/>
  <c r="T28" i="8" s="1"/>
  <c r="S21" i="8"/>
  <c r="T21" i="8" s="1"/>
  <c r="S14" i="8"/>
  <c r="U14" i="8" s="1"/>
  <c r="S27" i="8"/>
  <c r="X27" i="8" s="1"/>
  <c r="S23" i="8"/>
  <c r="V23" i="8" s="1"/>
  <c r="S13" i="8"/>
  <c r="X13" i="8" s="1"/>
  <c r="S19" i="8"/>
  <c r="X19" i="8" s="1"/>
  <c r="S25" i="9"/>
  <c r="W25" i="9" s="1"/>
  <c r="S14" i="9"/>
  <c r="V14" i="9" s="1"/>
  <c r="S21" i="9"/>
  <c r="W21" i="9" s="1"/>
  <c r="S30" i="9"/>
  <c r="V30" i="9" s="1"/>
  <c r="S28" i="9"/>
  <c r="V28" i="9" s="1"/>
  <c r="S27" i="9"/>
  <c r="X27" i="9" s="1"/>
  <c r="S8" i="9"/>
  <c r="T8" i="9" s="1"/>
  <c r="S13" i="9"/>
  <c r="X13" i="9" s="1"/>
  <c r="S28" i="13"/>
  <c r="X28" i="13" s="1"/>
  <c r="S21" i="13"/>
  <c r="X21" i="13" s="1"/>
  <c r="S27" i="13"/>
  <c r="U27" i="13" s="1"/>
  <c r="S30" i="13"/>
  <c r="T30" i="13" s="1"/>
  <c r="S11" i="9"/>
  <c r="W11" i="9" s="1"/>
  <c r="S13" i="13"/>
  <c r="U13" i="13" s="1"/>
  <c r="F38" i="13"/>
  <c r="S31" i="13" s="1"/>
  <c r="S23" i="9"/>
  <c r="V23" i="9" s="1"/>
  <c r="U11" i="8"/>
  <c r="U8" i="13"/>
  <c r="V8" i="13"/>
  <c r="X8" i="13"/>
  <c r="W8" i="13"/>
  <c r="T8" i="13"/>
  <c r="U10" i="9"/>
  <c r="V10" i="9"/>
  <c r="W10" i="9"/>
  <c r="X10" i="9"/>
  <c r="T10" i="9"/>
  <c r="U30" i="9"/>
  <c r="V24" i="8"/>
  <c r="U24" i="8"/>
  <c r="X24" i="8"/>
  <c r="T24" i="8"/>
  <c r="W24" i="8"/>
  <c r="V16" i="8"/>
  <c r="U16" i="8"/>
  <c r="T16" i="8"/>
  <c r="W16" i="8"/>
  <c r="X16" i="8"/>
  <c r="U18" i="9"/>
  <c r="V18" i="9"/>
  <c r="T18" i="9"/>
  <c r="X18" i="9"/>
  <c r="W18" i="9"/>
  <c r="V16" i="9"/>
  <c r="U16" i="9"/>
  <c r="T16" i="9"/>
  <c r="X16" i="9"/>
  <c r="W16" i="9"/>
  <c r="U31" i="9"/>
  <c r="T31" i="9"/>
  <c r="V31" i="9"/>
  <c r="X31" i="9"/>
  <c r="W31" i="9"/>
  <c r="U25" i="12"/>
  <c r="T25" i="12"/>
  <c r="V25" i="12"/>
  <c r="X25" i="12"/>
  <c r="W25" i="12"/>
  <c r="T12" i="8"/>
  <c r="U12" i="8"/>
  <c r="V12" i="8"/>
  <c r="W12" i="8"/>
  <c r="X12" i="8"/>
  <c r="V17" i="9"/>
  <c r="U17" i="9"/>
  <c r="X17" i="9"/>
  <c r="T17" i="9"/>
  <c r="W17" i="9"/>
  <c r="V25" i="8"/>
  <c r="U25" i="8"/>
  <c r="W25" i="8"/>
  <c r="T25" i="8"/>
  <c r="X25" i="8"/>
  <c r="U26" i="8"/>
  <c r="V26" i="8"/>
  <c r="X26" i="8"/>
  <c r="T26" i="8"/>
  <c r="W26" i="8"/>
  <c r="U13" i="12"/>
  <c r="V13" i="12"/>
  <c r="W13" i="12"/>
  <c r="X13" i="12"/>
  <c r="V15" i="8"/>
  <c r="U15" i="8"/>
  <c r="W15" i="8"/>
  <c r="X15" i="8"/>
  <c r="T15" i="8"/>
  <c r="U22" i="8"/>
  <c r="V22" i="8"/>
  <c r="T22" i="8"/>
  <c r="X22" i="8"/>
  <c r="W22" i="8"/>
  <c r="X30" i="12"/>
  <c r="U23" i="13"/>
  <c r="V23" i="13"/>
  <c r="T23" i="13"/>
  <c r="X23" i="13"/>
  <c r="W23" i="13"/>
  <c r="U19" i="9"/>
  <c r="T19" i="9"/>
  <c r="V19" i="9"/>
  <c r="W19" i="9"/>
  <c r="X19" i="9"/>
  <c r="V10" i="8"/>
  <c r="U10" i="8"/>
  <c r="W10" i="8"/>
  <c r="X10" i="8"/>
  <c r="T10" i="8"/>
  <c r="U7" i="8"/>
  <c r="V7" i="8"/>
  <c r="T7" i="8"/>
  <c r="X7" i="8"/>
  <c r="W7" i="8"/>
  <c r="U12" i="9"/>
  <c r="T12" i="9"/>
  <c r="V12" i="9"/>
  <c r="W12" i="9"/>
  <c r="X12" i="9"/>
  <c r="T22" i="9"/>
  <c r="V22" i="9"/>
  <c r="U22" i="9"/>
  <c r="W22" i="9"/>
  <c r="X22" i="9"/>
  <c r="W23" i="12"/>
  <c r="V9" i="8"/>
  <c r="U9" i="8"/>
  <c r="W9" i="8"/>
  <c r="X9" i="8"/>
  <c r="T9" i="8"/>
  <c r="U21" i="8"/>
  <c r="V14" i="8"/>
  <c r="W14" i="8"/>
  <c r="X28" i="12"/>
  <c r="T28" i="12"/>
  <c r="V19" i="13"/>
  <c r="U19" i="13"/>
  <c r="T19" i="13"/>
  <c r="X19" i="13"/>
  <c r="W19" i="13"/>
  <c r="V9" i="9"/>
  <c r="U9" i="9"/>
  <c r="W9" i="9"/>
  <c r="T9" i="9"/>
  <c r="X9" i="9"/>
  <c r="V19" i="12"/>
  <c r="U19" i="12"/>
  <c r="T19" i="12"/>
  <c r="X19" i="12"/>
  <c r="W19" i="12"/>
  <c r="V15" i="9"/>
  <c r="T15" i="9"/>
  <c r="U15" i="9"/>
  <c r="W15" i="9"/>
  <c r="X15" i="9"/>
  <c r="V20" i="8"/>
  <c r="U20" i="8"/>
  <c r="T20" i="8"/>
  <c r="W20" i="8"/>
  <c r="X20" i="8"/>
  <c r="V29" i="8"/>
  <c r="U29" i="8"/>
  <c r="T29" i="8"/>
  <c r="X29" i="8"/>
  <c r="W29" i="8"/>
  <c r="V7" i="9"/>
  <c r="U7" i="9"/>
  <c r="T7" i="9"/>
  <c r="W7" i="9"/>
  <c r="X7" i="9"/>
  <c r="T24" i="9"/>
  <c r="U24" i="9"/>
  <c r="V24" i="9"/>
  <c r="W24" i="9"/>
  <c r="X24" i="9"/>
  <c r="U25" i="13"/>
  <c r="V25" i="13"/>
  <c r="W25" i="13"/>
  <c r="T25" i="13"/>
  <c r="X25" i="13"/>
  <c r="V31" i="8"/>
  <c r="U31" i="8"/>
  <c r="T31" i="8"/>
  <c r="W31" i="8"/>
  <c r="X31" i="8"/>
  <c r="V17" i="8"/>
  <c r="U17" i="8"/>
  <c r="T17" i="8"/>
  <c r="X17" i="8"/>
  <c r="W17" i="8"/>
  <c r="V26" i="9"/>
  <c r="U26" i="9"/>
  <c r="X26" i="9"/>
  <c r="T26" i="9"/>
  <c r="W26" i="9"/>
  <c r="V14" i="12"/>
  <c r="T14" i="12"/>
  <c r="U14" i="12"/>
  <c r="X14" i="12"/>
  <c r="W14" i="12"/>
  <c r="U23" i="8"/>
  <c r="T23" i="8"/>
  <c r="U29" i="9"/>
  <c r="V29" i="9"/>
  <c r="W29" i="9"/>
  <c r="X29" i="9"/>
  <c r="T29" i="9"/>
  <c r="V11" i="12"/>
  <c r="U11" i="12"/>
  <c r="T11" i="12"/>
  <c r="X11" i="12"/>
  <c r="W11" i="12"/>
  <c r="U8" i="8"/>
  <c r="V8" i="8"/>
  <c r="W8" i="8"/>
  <c r="T8" i="8"/>
  <c r="X8" i="8"/>
  <c r="U27" i="12"/>
  <c r="V27" i="12"/>
  <c r="X27" i="12"/>
  <c r="T27" i="12"/>
  <c r="W27" i="12"/>
  <c r="V28" i="8"/>
  <c r="V11" i="13"/>
  <c r="U11" i="13"/>
  <c r="W11" i="13"/>
  <c r="X11" i="13"/>
  <c r="T11" i="13"/>
  <c r="V8" i="12"/>
  <c r="T8" i="12"/>
  <c r="T30" i="8"/>
  <c r="V30" i="8"/>
  <c r="U14" i="13"/>
  <c r="V14" i="13"/>
  <c r="X14" i="13"/>
  <c r="T14" i="13"/>
  <c r="W14" i="13"/>
  <c r="X21" i="9"/>
  <c r="T18" i="8"/>
  <c r="V18" i="8"/>
  <c r="U18" i="8"/>
  <c r="X18" i="8"/>
  <c r="W18" i="8"/>
  <c r="V32" i="8"/>
  <c r="U32" i="8"/>
  <c r="W32" i="8"/>
  <c r="T32" i="8"/>
  <c r="X32" i="8"/>
  <c r="V32" i="9"/>
  <c r="U32" i="9"/>
  <c r="X32" i="9"/>
  <c r="W32" i="9"/>
  <c r="T32" i="9"/>
  <c r="V20" i="9"/>
  <c r="U20" i="9"/>
  <c r="W20" i="9"/>
  <c r="T20" i="9"/>
  <c r="X20" i="9"/>
  <c r="V30" i="13" l="1"/>
  <c r="T14" i="8"/>
  <c r="T23" i="12"/>
  <c r="W28" i="13"/>
  <c r="U28" i="13"/>
  <c r="V28" i="13"/>
  <c r="W8" i="12"/>
  <c r="U28" i="12"/>
  <c r="U8" i="12"/>
  <c r="T21" i="12"/>
  <c r="V28" i="12"/>
  <c r="X30" i="8"/>
  <c r="S36" i="12"/>
  <c r="D10" i="11" s="1"/>
  <c r="X23" i="12"/>
  <c r="U23" i="12"/>
  <c r="S17" i="13"/>
  <c r="X17" i="13" s="1"/>
  <c r="U21" i="12"/>
  <c r="V21" i="8"/>
  <c r="W30" i="12"/>
  <c r="V30" i="12"/>
  <c r="V21" i="12"/>
  <c r="T30" i="12"/>
  <c r="X21" i="12"/>
  <c r="X36" i="12" s="1"/>
  <c r="K10" i="11" s="1"/>
  <c r="W21" i="8"/>
  <c r="X21" i="8"/>
  <c r="X30" i="13"/>
  <c r="U30" i="13"/>
  <c r="W21" i="13"/>
  <c r="W27" i="13"/>
  <c r="U21" i="13"/>
  <c r="T27" i="13"/>
  <c r="T28" i="13"/>
  <c r="V19" i="8"/>
  <c r="X25" i="9"/>
  <c r="W30" i="8"/>
  <c r="X14" i="8"/>
  <c r="X11" i="9"/>
  <c r="V27" i="8"/>
  <c r="T27" i="9"/>
  <c r="V13" i="8"/>
  <c r="T14" i="9"/>
  <c r="X28" i="8"/>
  <c r="W28" i="8"/>
  <c r="V8" i="9"/>
  <c r="U28" i="8"/>
  <c r="U14" i="9"/>
  <c r="U13" i="8"/>
  <c r="U19" i="8"/>
  <c r="T28" i="9"/>
  <c r="T25" i="9"/>
  <c r="T27" i="8"/>
  <c r="T11" i="9"/>
  <c r="U11" i="9"/>
  <c r="X28" i="9"/>
  <c r="T13" i="8"/>
  <c r="W27" i="8"/>
  <c r="V11" i="9"/>
  <c r="W28" i="9"/>
  <c r="U27" i="8"/>
  <c r="U28" i="9"/>
  <c r="S36" i="8"/>
  <c r="D6" i="11" s="1"/>
  <c r="W13" i="8"/>
  <c r="V25" i="9"/>
  <c r="V27" i="9"/>
  <c r="W11" i="8"/>
  <c r="T19" i="8"/>
  <c r="X23" i="8"/>
  <c r="X11" i="8"/>
  <c r="W19" i="8"/>
  <c r="W23" i="8"/>
  <c r="T11" i="8"/>
  <c r="T36" i="8" s="1"/>
  <c r="G6" i="11" s="1"/>
  <c r="X30" i="9"/>
  <c r="V21" i="9"/>
  <c r="W8" i="9"/>
  <c r="U21" i="9"/>
  <c r="W14" i="9"/>
  <c r="U8" i="9"/>
  <c r="T21" i="9"/>
  <c r="S36" i="9"/>
  <c r="D7" i="11" s="1"/>
  <c r="W13" i="9"/>
  <c r="U13" i="9"/>
  <c r="V13" i="9"/>
  <c r="W30" i="9"/>
  <c r="W27" i="9"/>
  <c r="X8" i="9"/>
  <c r="U27" i="9"/>
  <c r="X14" i="9"/>
  <c r="U25" i="9"/>
  <c r="X23" i="9"/>
  <c r="W23" i="9"/>
  <c r="T23" i="9"/>
  <c r="U23" i="9"/>
  <c r="T13" i="9"/>
  <c r="T30" i="9"/>
  <c r="S29" i="13"/>
  <c r="U29" i="13" s="1"/>
  <c r="X27" i="13"/>
  <c r="S22" i="13"/>
  <c r="V22" i="13" s="1"/>
  <c r="T13" i="13"/>
  <c r="S20" i="13"/>
  <c r="V20" i="13" s="1"/>
  <c r="X13" i="13"/>
  <c r="S15" i="13"/>
  <c r="T15" i="13" s="1"/>
  <c r="W13" i="13"/>
  <c r="S7" i="13"/>
  <c r="X7" i="13" s="1"/>
  <c r="V13" i="13"/>
  <c r="S12" i="13"/>
  <c r="T12" i="13" s="1"/>
  <c r="S9" i="13"/>
  <c r="W9" i="13" s="1"/>
  <c r="S18" i="13"/>
  <c r="V18" i="13" s="1"/>
  <c r="S16" i="13"/>
  <c r="X16" i="13" s="1"/>
  <c r="V27" i="13"/>
  <c r="V21" i="13"/>
  <c r="S26" i="13"/>
  <c r="W26" i="13" s="1"/>
  <c r="S33" i="13"/>
  <c r="X33" i="13" s="1"/>
  <c r="W30" i="13"/>
  <c r="T21" i="13"/>
  <c r="S24" i="13"/>
  <c r="W24" i="13" s="1"/>
  <c r="S32" i="13"/>
  <c r="W32" i="13" s="1"/>
  <c r="S10" i="13"/>
  <c r="T10" i="13" s="1"/>
  <c r="W36" i="12"/>
  <c r="J10" i="11" s="1"/>
  <c r="V26" i="13"/>
  <c r="X26" i="13"/>
  <c r="X29" i="13"/>
  <c r="V31" i="13"/>
  <c r="U31" i="13"/>
  <c r="W31" i="13"/>
  <c r="X31" i="13"/>
  <c r="T31" i="13"/>
  <c r="T36" i="12" l="1"/>
  <c r="G10" i="11" s="1"/>
  <c r="U7" i="13"/>
  <c r="W29" i="13"/>
  <c r="V29" i="13"/>
  <c r="W7" i="13"/>
  <c r="U17" i="13"/>
  <c r="V17" i="13"/>
  <c r="U36" i="12"/>
  <c r="H10" i="11" s="1"/>
  <c r="V36" i="12"/>
  <c r="I10" i="11" s="1"/>
  <c r="W17" i="13"/>
  <c r="T17" i="13"/>
  <c r="V36" i="8"/>
  <c r="I6" i="11" s="1"/>
  <c r="T7" i="13"/>
  <c r="V7" i="13"/>
  <c r="T29" i="13"/>
  <c r="U26" i="13"/>
  <c r="W15" i="13"/>
  <c r="V15" i="13"/>
  <c r="U9" i="13"/>
  <c r="T26" i="13"/>
  <c r="W12" i="13"/>
  <c r="X12" i="13"/>
  <c r="U36" i="8"/>
  <c r="H6" i="11" s="1"/>
  <c r="X36" i="8"/>
  <c r="K6" i="11" s="1"/>
  <c r="V36" i="9"/>
  <c r="I7" i="11" s="1"/>
  <c r="I9" i="11" s="1"/>
  <c r="W36" i="8"/>
  <c r="J6" i="11" s="1"/>
  <c r="E6" i="11"/>
  <c r="E10" i="11"/>
  <c r="U36" i="9"/>
  <c r="H7" i="11" s="1"/>
  <c r="H9" i="11" s="1"/>
  <c r="E11" i="11"/>
  <c r="T36" i="9"/>
  <c r="G7" i="11" s="1"/>
  <c r="G9" i="11" s="1"/>
  <c r="D9" i="11"/>
  <c r="E7" i="11"/>
  <c r="W36" i="9"/>
  <c r="J7" i="11" s="1"/>
  <c r="J9" i="11" s="1"/>
  <c r="X36" i="9"/>
  <c r="K7" i="11" s="1"/>
  <c r="K9" i="11" s="1"/>
  <c r="U15" i="13"/>
  <c r="T32" i="13"/>
  <c r="U32" i="13"/>
  <c r="U10" i="13"/>
  <c r="V10" i="13"/>
  <c r="V16" i="13"/>
  <c r="X15" i="13"/>
  <c r="T9" i="13"/>
  <c r="U16" i="13"/>
  <c r="W18" i="13"/>
  <c r="X20" i="13"/>
  <c r="W22" i="13"/>
  <c r="U12" i="13"/>
  <c r="T18" i="13"/>
  <c r="W20" i="13"/>
  <c r="X24" i="13"/>
  <c r="X22" i="13"/>
  <c r="V12" i="13"/>
  <c r="U18" i="13"/>
  <c r="V9" i="13"/>
  <c r="U20" i="13"/>
  <c r="U24" i="13"/>
  <c r="U22" i="13"/>
  <c r="X9" i="13"/>
  <c r="T20" i="13"/>
  <c r="V24" i="13"/>
  <c r="T22" i="13"/>
  <c r="X32" i="13"/>
  <c r="X18" i="13"/>
  <c r="W10" i="13"/>
  <c r="S36" i="13"/>
  <c r="V32" i="13"/>
  <c r="T16" i="13"/>
  <c r="X10" i="13"/>
  <c r="T24" i="13"/>
  <c r="W16" i="13"/>
  <c r="E8" i="11" l="1"/>
  <c r="F11" i="11"/>
  <c r="F8" i="11"/>
  <c r="F10" i="11"/>
  <c r="E9" i="11"/>
  <c r="F9" i="11"/>
  <c r="V36" i="13"/>
  <c r="I8" i="11" s="1"/>
  <c r="U36" i="13"/>
  <c r="H8" i="11" s="1"/>
  <c r="W36" i="13"/>
  <c r="J8" i="11" s="1"/>
  <c r="T36" i="13"/>
  <c r="G8" i="11" s="1"/>
  <c r="X36" i="13"/>
  <c r="K8" i="11" s="1"/>
</calcChain>
</file>

<file path=xl/sharedStrings.xml><?xml version="1.0" encoding="utf-8"?>
<sst xmlns="http://schemas.openxmlformats.org/spreadsheetml/2006/main" count="1746" uniqueCount="122">
  <si>
    <t>Plow quotes from professional plowing contractors</t>
  </si>
  <si>
    <t>Contractor</t>
  </si>
  <si>
    <t xml:space="preserve"> Total plow runs</t>
  </si>
  <si>
    <t xml:space="preserve"> Plow runs, initial increment</t>
  </si>
  <si>
    <t xml:space="preserve"> Plow charge first increment</t>
  </si>
  <si>
    <t xml:space="preserve"> Additional runs</t>
  </si>
  <si>
    <t xml:space="preserve"> Charge per run additional</t>
  </si>
  <si>
    <t xml:space="preserve"> Plow charge additional</t>
  </si>
  <si>
    <t xml:space="preserve"> Requisite sandings</t>
  </si>
  <si>
    <t xml:space="preserve"> Charge per sanding</t>
  </si>
  <si>
    <t xml:space="preserve"> Sanding charge</t>
  </si>
  <si>
    <t xml:space="preserve"> Total</t>
  </si>
  <si>
    <t xml:space="preserve"> Average</t>
  </si>
  <si>
    <t>Wetty</t>
  </si>
  <si>
    <t>Jerolds</t>
  </si>
  <si>
    <t>Average overall</t>
  </si>
  <si>
    <t>70% of average overall</t>
  </si>
  <si>
    <t>Segment lengths</t>
  </si>
  <si>
    <t>Segment</t>
  </si>
  <si>
    <t>Description</t>
  </si>
  <si>
    <t>Length</t>
  </si>
  <si>
    <t>Cumulative</t>
  </si>
  <si>
    <t>Qualifying Lots that Access the Segment</t>
  </si>
  <si>
    <t>End of public Indian Rest Rd. to 
250 Indian Rest Rd.  (paved)</t>
  </si>
  <si>
    <t xml:space="preserve">Lot 116, Tax Map 50 (Buckbee)  
Lot 114, Tax Map 50 (Rusczek/White)  
Lot 110, Tax Map 50 (S. Habana-Hafner Revocable Living Trust)  
Lot 126, Tax Map 50 (Stuart)  
Lot 146, Tax Map 50 (Crawfords)  
Lot 135, Tax Map 50 (Kramers)  
Lot 136, Tax Map 50 (J.M. Crawford)
</t>
  </si>
  <si>
    <t>250 Indian Rest Rd. to 
254 Indian Rest Rd.  (paved)</t>
  </si>
  <si>
    <t xml:space="preserve">Lot 114, Tax Map 50 (Rusczek/White)  
Lot 110, Tax Map 50 (S. Habana-Hafner Revocable Living Trust)  
Lot 126, Tax Map 50 (Stuart)  
Lot 146, Tax Map 50 (Crawfords)  
Lot 135, Tax Map 50 (Kramers)  
Lot 136, Tax Map 50 (J.M. Crawford)
</t>
  </si>
  <si>
    <t>254 Indian Rest Rd. to 
275 Indian Rest Rd.  (gravel)</t>
  </si>
  <si>
    <t xml:space="preserve">Lot 110, Tax Map 50 (S. Habana-Hafner Revocable Living Trust)  
Lot 126, Tax Map 50 (Stuart)  
Lot 146, Tax Map 50 (Crawfords)  
Lot 135, Tax Map 50 (Kramers)  
Lot 136, Tax Map 50 (J.M. Crawford)
</t>
  </si>
  <si>
    <t>275 Indian Rest Rd. to 
17 Peboniwi Ledge  (gravel/paved)</t>
  </si>
  <si>
    <t xml:space="preserve">Lot 126, Tax Map 50 (Stuart)  
Lot 146, Tax Map 50 (Crawfords)  
Lot 135, Tax Map 50 (Kramers)  
Lot 136, Tax Map 50 (J.M. Crawford)
</t>
  </si>
  <si>
    <t>17 Peboniwi Ledge to 
28 Peboniwi Ledge  (gravel)</t>
  </si>
  <si>
    <t xml:space="preserve">Lot 146, Tax Map 50 (Crawfords)  
Lot 135, Tax Map 50 (Kramers)  
Lot 136, Tax Map 50 (J.M. Crawford)
</t>
  </si>
  <si>
    <t>28 Peboniwi Ledge to 
Lot 135 Peboniwi Ledge  (gravel)</t>
  </si>
  <si>
    <t xml:space="preserve">Lot 135, Tax Map 50 (Kramers)  
Lot 136, Tax Map 50 (J.M. Crawford)
</t>
  </si>
  <si>
    <t>Lot 135 Peboniwi Ledge to
Lot 136 Peboniwi Ledge  (gravel)</t>
  </si>
  <si>
    <t xml:space="preserve">Lot 136, Tax Map 50 (J.M. Crawford)
</t>
  </si>
  <si>
    <t>Share percentage calculations</t>
  </si>
  <si>
    <t>Buckbee</t>
  </si>
  <si>
    <t>Rusczek/White</t>
  </si>
  <si>
    <t>Hafner</t>
  </si>
  <si>
    <t>Stuart</t>
  </si>
  <si>
    <t>Crawford</t>
  </si>
  <si>
    <t>Kramer</t>
  </si>
  <si>
    <t>Costs</t>
  </si>
  <si>
    <t>Item</t>
  </si>
  <si>
    <t>Total</t>
  </si>
  <si>
    <t>Everything</t>
  </si>
  <si>
    <t>Segment included?</t>
  </si>
  <si>
    <t>x</t>
  </si>
  <si>
    <t>Owner contributes?</t>
  </si>
  <si>
    <t>Contrib footage</t>
  </si>
  <si>
    <t>percentage</t>
  </si>
  <si>
    <t>Plowing</t>
  </si>
  <si>
    <t>Paved road</t>
  </si>
  <si>
    <t>Gravel to 17 Peboniwi</t>
  </si>
  <si>
    <t>Segments</t>
  </si>
  <si>
    <t>Driveways</t>
  </si>
  <si>
    <t>Date</t>
  </si>
  <si>
    <t>Time</t>
  </si>
  <si>
    <t>Action</t>
  </si>
  <si>
    <t>Performed by</t>
  </si>
  <si>
    <t>Share type</t>
  </si>
  <si>
    <t>maintenance</t>
  </si>
  <si>
    <t>dig out culverts, cut roadside brush, leafblow road and ditches</t>
  </si>
  <si>
    <t>crawford</t>
  </si>
  <si>
    <t>turns</t>
  </si>
  <si>
    <t xml:space="preserve"> "</t>
  </si>
  <si>
    <t>plow</t>
  </si>
  <si>
    <t>plow run</t>
  </si>
  <si>
    <t>cost</t>
  </si>
  <si>
    <t>•</t>
  </si>
  <si>
    <t>cleanup</t>
  </si>
  <si>
    <t>plow cost - full</t>
  </si>
  <si>
    <t>plow cost - cleanup</t>
  </si>
  <si>
    <t>Cost scenario</t>
  </si>
  <si>
    <t>Minimum overall</t>
  </si>
  <si>
    <t>interim run</t>
  </si>
  <si>
    <t>cleanup - scrapedown of loose slush</t>
  </si>
  <si>
    <t>plow run - additional buildup of 1"-3" of ice/sleet/slush</t>
  </si>
  <si>
    <t>Coastal</t>
  </si>
  <si>
    <t>Plow costs 2019/2020 - price for all runs at 70% average of pro rates</t>
  </si>
  <si>
    <t>cleanup - storm remainder, scrapedown of loose slush</t>
  </si>
  <si>
    <t>Segment  footage</t>
  </si>
  <si>
    <t>Owner  footage</t>
  </si>
  <si>
    <t>Owner footage</t>
  </si>
  <si>
    <t xml:space="preserve">Total   </t>
  </si>
  <si>
    <t>Costs - 70% pro lowest</t>
  </si>
  <si>
    <t>Goals:</t>
  </si>
  <si>
    <t>General notes:</t>
  </si>
  <si>
    <t>Quotation notes:</t>
  </si>
  <si>
    <t>Calculation notes:</t>
  </si>
  <si>
    <r>
      <t>Plow costs 2019/2020 - price for</t>
    </r>
    <r>
      <rPr>
        <b/>
        <i/>
        <sz val="16"/>
        <color theme="1"/>
        <rFont val="Calibri"/>
        <family val="2"/>
        <scheme val="minor"/>
      </rPr>
      <t xml:space="preserve"> full runs only</t>
    </r>
    <r>
      <rPr>
        <b/>
        <sz val="16"/>
        <color theme="1"/>
        <rFont val="Calibri"/>
        <family val="2"/>
        <scheme val="minor"/>
      </rPr>
      <t xml:space="preserve"> at 70% average of pro rates</t>
    </r>
  </si>
  <si>
    <t>2019/2020 costs - all runs at 70% avg. of pro rates</t>
  </si>
  <si>
    <t>Costs - 70% pro avg, no cleanup</t>
  </si>
  <si>
    <r>
      <rPr>
        <sz val="9"/>
        <color theme="1"/>
        <rFont val="Calibri"/>
        <family val="2"/>
        <scheme val="minor"/>
      </rPr>
      <t>●</t>
    </r>
    <r>
      <rPr>
        <sz val="11"/>
        <color theme="1"/>
        <rFont val="Calibri"/>
        <family val="2"/>
        <scheme val="minor"/>
      </rPr>
      <t xml:space="preserve">   Find an arrangement for plowing that costs substantially less than professional rates for the same work.
</t>
    </r>
    <r>
      <rPr>
        <sz val="9"/>
        <color theme="1"/>
        <rFont val="Calibri"/>
        <family val="2"/>
        <scheme val="minor"/>
      </rPr>
      <t>●</t>
    </r>
    <r>
      <rPr>
        <sz val="11"/>
        <color theme="1"/>
        <rFont val="Calibri"/>
        <family val="2"/>
        <scheme val="minor"/>
      </rPr>
      <t xml:space="preserve">   Include plow runs to keep the road scraped down so that thick layers of ice don't build up over time.
</t>
    </r>
    <r>
      <rPr>
        <sz val="9"/>
        <color theme="1"/>
        <rFont val="Calibri"/>
        <family val="2"/>
        <scheme val="minor"/>
      </rPr>
      <t>●</t>
    </r>
    <r>
      <rPr>
        <sz val="11"/>
        <color theme="1"/>
        <rFont val="Calibri"/>
        <family val="2"/>
        <scheme val="minor"/>
      </rPr>
      <t xml:space="preserve">   Without seasonal residents having to worry about paying extra for plow runs that only full-time residents need.
</t>
    </r>
    <r>
      <rPr>
        <sz val="9"/>
        <color theme="1"/>
        <rFont val="Calibri"/>
        <family val="2"/>
        <scheme val="minor"/>
      </rPr>
      <t>●</t>
    </r>
    <r>
      <rPr>
        <sz val="11"/>
        <color theme="1"/>
        <rFont val="Calibri"/>
        <family val="2"/>
        <scheme val="minor"/>
      </rPr>
      <t xml:space="preserve">   And without anyone having to worry if a cleanup run is being done to pad the season's billing.</t>
    </r>
  </si>
  <si>
    <t xml:space="preserve">Plow quote numbers from three professionals are on "Plow quotes" page 2.  These quotes feed into the cost calculations for the actual 2019/2020 runs on pages 3-5.  Percentage payments for each lot are calculated on the "Percentages" page 6, based upon the segment ownership and lengths on the "Segments" page 7. </t>
  </si>
  <si>
    <t>cleanup - scrapedown of loose slush (crawfords-only)</t>
  </si>
  <si>
    <t>Cost for full runs only:  12 full plow runs, no cleanup runs, from mailboxes to 17 Peboniwi</t>
  </si>
  <si>
    <t>Cost for full runs + 1/2 cleanup runs:  19 plow runs performed 2019/2020, from mailboxes to 17 Peboniwi</t>
  </si>
  <si>
    <t>Cost for all runs:  26 plow runs performed 2019/2020, from mailboxes to 17 Peboniwi</t>
  </si>
  <si>
    <t>% 
All runs</t>
  </si>
  <si>
    <t>All runs</t>
  </si>
  <si>
    <t>% 
Hybrid</t>
  </si>
  <si>
    <t>- -</t>
  </si>
  <si>
    <t>2019/2020 costs - 26  runs at lowest pro rate (Wetty)</t>
  </si>
  <si>
    <t>2019/2020 costs - 19 runs at lowest pro rate</t>
  </si>
  <si>
    <t>Costs - pro lowest 26 runs</t>
  </si>
  <si>
    <t>Costs - pro lowest 19 runs</t>
  </si>
  <si>
    <t>Costs - proposed 26 runs</t>
  </si>
  <si>
    <t>plow cost - mid-storm/scrapedown</t>
  </si>
  <si>
    <r>
      <t>Wetty's quote of $50 to move snow banks 2x-3x per year is averaged out to $10/run, pre-storm plow safety sandings at</t>
    </r>
    <r>
      <rPr>
        <b/>
        <sz val="11"/>
        <color theme="3" tint="0.39997558519241921"/>
        <rFont val="Calibri"/>
        <family val="2"/>
        <scheme val="minor"/>
      </rPr>
      <t xml:space="preserve"> 3x-4x</t>
    </r>
    <r>
      <rPr>
        <sz val="11"/>
        <color theme="1"/>
        <rFont val="Calibri"/>
        <family val="2"/>
        <scheme val="minor"/>
      </rPr>
      <t xml:space="preserve"> per year, reduced from Wetty's estimate of 5x-6x per year.</t>
    </r>
  </si>
  <si>
    <t>2019/2020 costs - 26 runs at 70% lowest pro rate</t>
  </si>
  <si>
    <r>
      <t xml:space="preserve">2019/2020 costs - 26 runs total, full runs at $190,  </t>
    </r>
    <r>
      <rPr>
        <b/>
        <i/>
        <sz val="11"/>
        <color rgb="FF0070C0"/>
        <rFont val="Calibri"/>
        <family val="2"/>
        <scheme val="minor"/>
      </rPr>
      <t>cleanup runs free</t>
    </r>
  </si>
  <si>
    <r>
      <t xml:space="preserve">Indian Rest South Plowing Expense Comparisons </t>
    </r>
    <r>
      <rPr>
        <b/>
        <sz val="16"/>
        <color theme="1"/>
        <rFont val="Calibri"/>
        <family val="2"/>
      </rPr>
      <t>—</t>
    </r>
    <r>
      <rPr>
        <b/>
        <sz val="16"/>
        <color theme="1"/>
        <rFont val="Calibri"/>
        <family val="2"/>
        <scheme val="minor"/>
      </rPr>
      <t xml:space="preserve"> 2019/2020</t>
    </r>
  </si>
  <si>
    <t>Plow costs 2019/2020 - price for all 26 runs at lowest pro rate</t>
  </si>
  <si>
    <t>Plow costs 2019/2020 - price for 19 runs at lowest pro rate</t>
  </si>
  <si>
    <r>
      <t xml:space="preserve">Plow costs 2019/2020 - proposed - 26 runs - $190 for full plow runs, 
</t>
    </r>
    <r>
      <rPr>
        <b/>
        <sz val="16"/>
        <color rgb="FF0070C0"/>
        <rFont val="Calibri"/>
        <family val="2"/>
        <scheme val="minor"/>
      </rPr>
      <t>Cleanup runs at no charge</t>
    </r>
  </si>
  <si>
    <t>Costs - 70% pro avg, 26 runs</t>
  </si>
  <si>
    <r>
      <t xml:space="preserve">2019/2020 costs - full runs at 70% avg. of pro rates, </t>
    </r>
    <r>
      <rPr>
        <b/>
        <i/>
        <sz val="11"/>
        <color theme="0" tint="-0.499984740745262"/>
        <rFont val="Calibri"/>
        <family val="2"/>
        <scheme val="minor"/>
      </rPr>
      <t>no cleanup runs</t>
    </r>
  </si>
  <si>
    <t>Cost comparisons are in descending order.  The proposed rate at the bottom is about 60% of Wetty's full rate for all 26 runs, and 81% of Wetty costs for 19 runs (say,  if we take our chances and eliminate half the mid-storm/cleanup/scrapedown runs).</t>
  </si>
  <si>
    <t>Costs for 26 runs and 19 runs, Wetty pre-storm sanding estimate reduced from 5x-6x to 3x-4x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</si>
</sst>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%;0.0%;\-\ \ \ \ \ \ "/>
    <numFmt numFmtId="167" formatCode="yyyy/mm/dd"/>
    <numFmt numFmtId="168" formatCode="[hh]:mm"/>
    <numFmt numFmtId="169" formatCode="_(* #,##0_);_(* \(#,##0\);_(* &quot;&quot;??_)"/>
    <numFmt numFmtId="170" formatCode="_(* #,##0.00_);_(* \(#,##0.00\);_(* &quot;&quot;??_)"/>
    <numFmt numFmtId="171" formatCode="_(* #,##0_);_(* \(#,##0\);_(* &quot;&quot;??_);_(@_)"/>
    <numFmt numFmtId="172" formatCode="_(* #,##0.00_);_(* \(#,##0.00\);_(* &quot;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007A37"/>
      <name val="Calibri"/>
      <family val="2"/>
      <scheme val="minor"/>
    </font>
    <font>
      <sz val="11"/>
      <color rgb="FF005DA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theme="2" tint="-0.499984740745262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49" fontId="11" fillId="0" borderId="0" xfId="0" applyNumberFormat="1" applyFont="1" applyAlignment="1">
      <alignment horizontal="right" textRotation="90"/>
    </xf>
    <xf numFmtId="49" fontId="2" fillId="0" borderId="0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indent="3"/>
    </xf>
    <xf numFmtId="49" fontId="2" fillId="0" borderId="3" xfId="0" applyNumberFormat="1" applyFont="1" applyBorder="1" applyAlignment="1">
      <alignment horizontal="right" vertical="top" indent="1"/>
    </xf>
    <xf numFmtId="0" fontId="2" fillId="0" borderId="4" xfId="0" applyFont="1" applyBorder="1" applyAlignment="1">
      <alignment horizontal="left" vertical="top" indent="2"/>
    </xf>
    <xf numFmtId="0" fontId="2" fillId="0" borderId="5" xfId="0" applyFont="1" applyBorder="1" applyAlignment="1">
      <alignment horizontal="center" vertical="top"/>
    </xf>
    <xf numFmtId="0" fontId="0" fillId="0" borderId="0" xfId="0" applyBorder="1" applyAlignment="1">
      <alignment horizontal="right" vertical="top" indent="1"/>
    </xf>
    <xf numFmtId="0" fontId="0" fillId="0" borderId="0" xfId="0" applyBorder="1"/>
    <xf numFmtId="0" fontId="2" fillId="0" borderId="5" xfId="0" applyFont="1" applyBorder="1" applyAlignment="1">
      <alignment horizontal="right" vertical="top"/>
    </xf>
    <xf numFmtId="2" fontId="0" fillId="0" borderId="0" xfId="1" applyNumberFormat="1" applyFont="1" applyAlignment="1">
      <alignment horizontal="right" indent="1"/>
    </xf>
    <xf numFmtId="0" fontId="12" fillId="0" borderId="0" xfId="0" applyFont="1" applyAlignment="1">
      <alignment horizontal="center" textRotation="90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4" fillId="0" borderId="0" xfId="0" applyFont="1" applyFill="1" applyBorder="1" applyAlignment="1">
      <alignment horizontal="left" vertical="top" wrapText="1" indent="27"/>
    </xf>
    <xf numFmtId="0" fontId="15" fillId="0" borderId="9" xfId="0" applyFont="1" applyBorder="1" applyAlignment="1">
      <alignment horizontal="left" vertical="top" wrapText="1" indent="27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17" fillId="0" borderId="0" xfId="0" applyFont="1" applyAlignment="1">
      <alignment textRotation="90"/>
    </xf>
    <xf numFmtId="0" fontId="0" fillId="0" borderId="0" xfId="0" applyAlignment="1">
      <alignment horizontal="left" vertical="top" indent="1"/>
    </xf>
    <xf numFmtId="169" fontId="0" fillId="0" borderId="1" xfId="0" applyNumberFormat="1" applyBorder="1" applyAlignment="1">
      <alignment horizontal="center" vertical="top"/>
    </xf>
    <xf numFmtId="169" fontId="0" fillId="0" borderId="0" xfId="0" applyNumberFormat="1" applyBorder="1" applyAlignment="1">
      <alignment horizontal="center" vertical="top"/>
    </xf>
    <xf numFmtId="169" fontId="2" fillId="0" borderId="11" xfId="0" applyNumberFormat="1" applyFont="1" applyBorder="1"/>
    <xf numFmtId="169" fontId="0" fillId="0" borderId="6" xfId="0" applyNumberFormat="1" applyBorder="1" applyAlignment="1">
      <alignment horizontal="center" vertical="top"/>
    </xf>
    <xf numFmtId="0" fontId="2" fillId="0" borderId="8" xfId="0" applyFont="1" applyBorder="1" applyAlignment="1">
      <alignment horizontal="right" vertical="top" indent="1"/>
    </xf>
    <xf numFmtId="0" fontId="0" fillId="0" borderId="13" xfId="0" applyBorder="1" applyAlignment="1">
      <alignment horizontal="left" indent="1"/>
    </xf>
    <xf numFmtId="164" fontId="0" fillId="0" borderId="13" xfId="1" applyNumberFormat="1" applyFont="1" applyBorder="1" applyAlignment="1">
      <alignment horizontal="right"/>
    </xf>
    <xf numFmtId="164" fontId="0" fillId="0" borderId="13" xfId="1" applyNumberFormat="1" applyFont="1" applyBorder="1"/>
    <xf numFmtId="0" fontId="0" fillId="0" borderId="14" xfId="0" applyBorder="1" applyAlignment="1">
      <alignment horizontal="left" indent="1"/>
    </xf>
    <xf numFmtId="164" fontId="0" fillId="0" borderId="14" xfId="1" applyNumberFormat="1" applyFont="1" applyBorder="1" applyAlignment="1">
      <alignment horizontal="right"/>
    </xf>
    <xf numFmtId="164" fontId="0" fillId="0" borderId="14" xfId="1" applyNumberFormat="1" applyFont="1" applyBorder="1"/>
    <xf numFmtId="164" fontId="2" fillId="0" borderId="0" xfId="0" applyNumberFormat="1" applyFont="1" applyAlignment="1">
      <alignment horizontal="right"/>
    </xf>
    <xf numFmtId="170" fontId="0" fillId="0" borderId="15" xfId="0" applyNumberFormat="1" applyBorder="1" applyAlignment="1">
      <alignment horizontal="center" vertical="top"/>
    </xf>
    <xf numFmtId="170" fontId="0" fillId="0" borderId="10" xfId="0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right" vertical="top" indent="1"/>
    </xf>
    <xf numFmtId="0" fontId="2" fillId="0" borderId="17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0" fillId="0" borderId="18" xfId="0" applyBorder="1" applyAlignment="1">
      <alignment horizontal="right" vertical="top" indent="1"/>
    </xf>
    <xf numFmtId="0" fontId="0" fillId="0" borderId="19" xfId="0" applyBorder="1" applyAlignment="1">
      <alignment horizontal="right" vertical="top" indent="1"/>
    </xf>
    <xf numFmtId="0" fontId="2" fillId="0" borderId="20" xfId="0" applyFont="1" applyBorder="1" applyAlignment="1">
      <alignment horizontal="center" vertical="top"/>
    </xf>
    <xf numFmtId="164" fontId="0" fillId="0" borderId="21" xfId="1" applyNumberFormat="1" applyFont="1" applyBorder="1" applyAlignment="1">
      <alignment horizontal="left" indent="2"/>
    </xf>
    <xf numFmtId="164" fontId="0" fillId="0" borderId="19" xfId="1" applyNumberFormat="1" applyFont="1" applyBorder="1" applyAlignment="1">
      <alignment horizontal="left" indent="2"/>
    </xf>
    <xf numFmtId="164" fontId="0" fillId="0" borderId="20" xfId="1" applyNumberFormat="1" applyFont="1" applyBorder="1" applyAlignment="1">
      <alignment horizontal="left" indent="2"/>
    </xf>
    <xf numFmtId="164" fontId="0" fillId="0" borderId="18" xfId="1" applyNumberFormat="1" applyFont="1" applyBorder="1" applyAlignment="1">
      <alignment horizontal="left" indent="2"/>
    </xf>
    <xf numFmtId="0" fontId="0" fillId="0" borderId="20" xfId="0" applyBorder="1"/>
    <xf numFmtId="165" fontId="0" fillId="0" borderId="1" xfId="2" applyNumberFormat="1" applyFont="1" applyBorder="1" applyAlignment="1">
      <alignment horizontal="right"/>
    </xf>
    <xf numFmtId="165" fontId="0" fillId="0" borderId="22" xfId="2" applyNumberFormat="1" applyFont="1" applyBorder="1" applyAlignment="1">
      <alignment horizontal="right"/>
    </xf>
    <xf numFmtId="0" fontId="0" fillId="0" borderId="6" xfId="0" applyBorder="1"/>
    <xf numFmtId="0" fontId="25" fillId="0" borderId="4" xfId="0" applyFont="1" applyBorder="1" applyAlignment="1">
      <alignment horizontal="left" vertical="top" indent="2"/>
    </xf>
    <xf numFmtId="0" fontId="26" fillId="0" borderId="0" xfId="0" applyFont="1" applyBorder="1" applyAlignment="1">
      <alignment horizontal="right" vertical="top" indent="1"/>
    </xf>
    <xf numFmtId="165" fontId="26" fillId="0" borderId="1" xfId="2" applyNumberFormat="1" applyFont="1" applyBorder="1" applyAlignment="1">
      <alignment horizontal="right"/>
    </xf>
    <xf numFmtId="165" fontId="26" fillId="0" borderId="22" xfId="2" applyNumberFormat="1" applyFont="1" applyBorder="1" applyAlignment="1">
      <alignment horizontal="right"/>
    </xf>
    <xf numFmtId="0" fontId="26" fillId="0" borderId="6" xfId="0" applyFont="1" applyBorder="1"/>
    <xf numFmtId="0" fontId="2" fillId="0" borderId="1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2" fillId="0" borderId="20" xfId="0" applyFont="1" applyBorder="1" applyAlignment="1">
      <alignment horizontal="right" vertical="top"/>
    </xf>
    <xf numFmtId="164" fontId="0" fillId="0" borderId="18" xfId="1" applyNumberFormat="1" applyFont="1" applyBorder="1" applyAlignment="1">
      <alignment horizontal="right" vertical="top"/>
    </xf>
    <xf numFmtId="164" fontId="0" fillId="0" borderId="19" xfId="1" applyNumberFormat="1" applyFont="1" applyBorder="1" applyAlignment="1">
      <alignment horizontal="right" vertical="top"/>
    </xf>
    <xf numFmtId="0" fontId="0" fillId="0" borderId="20" xfId="0" applyBorder="1" applyAlignment="1">
      <alignment horizontal="right"/>
    </xf>
    <xf numFmtId="166" fontId="0" fillId="0" borderId="1" xfId="2" applyNumberFormat="1" applyFont="1" applyBorder="1" applyAlignment="1">
      <alignment horizontal="right" vertical="top"/>
    </xf>
    <xf numFmtId="166" fontId="0" fillId="0" borderId="22" xfId="2" applyNumberFormat="1" applyFont="1" applyBorder="1" applyAlignment="1">
      <alignment horizontal="right" vertical="top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 vertical="top" indent="1"/>
    </xf>
    <xf numFmtId="166" fontId="0" fillId="0" borderId="23" xfId="2" applyNumberFormat="1" applyFont="1" applyBorder="1" applyAlignment="1">
      <alignment horizontal="right" vertical="top"/>
    </xf>
    <xf numFmtId="166" fontId="0" fillId="0" borderId="24" xfId="2" applyNumberFormat="1" applyFont="1" applyBorder="1" applyAlignment="1">
      <alignment horizontal="right" vertical="top"/>
    </xf>
    <xf numFmtId="0" fontId="0" fillId="0" borderId="25" xfId="0" applyBorder="1" applyAlignment="1">
      <alignment horizontal="right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14" xfId="0" applyBorder="1" applyAlignment="1">
      <alignment horizontal="left" vertical="top" indent="1"/>
    </xf>
    <xf numFmtId="171" fontId="0" fillId="0" borderId="14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 indent="1"/>
    </xf>
    <xf numFmtId="0" fontId="15" fillId="0" borderId="14" xfId="0" applyFont="1" applyBorder="1" applyAlignment="1">
      <alignment horizontal="left" vertical="top" indent="1"/>
    </xf>
    <xf numFmtId="171" fontId="15" fillId="0" borderId="14" xfId="1" applyNumberFormat="1" applyFont="1" applyBorder="1" applyAlignment="1">
      <alignment horizontal="right" vertical="top"/>
    </xf>
    <xf numFmtId="9" fontId="15" fillId="0" borderId="14" xfId="2" applyFont="1" applyBorder="1" applyAlignment="1">
      <alignment horizontal="right" vertical="top"/>
    </xf>
    <xf numFmtId="167" fontId="0" fillId="0" borderId="27" xfId="0" applyNumberFormat="1" applyBorder="1" applyAlignment="1">
      <alignment horizontal="left" vertical="top"/>
    </xf>
    <xf numFmtId="168" fontId="0" fillId="0" borderId="28" xfId="0" applyNumberFormat="1" applyBorder="1" applyAlignment="1">
      <alignment horizontal="left" vertical="top"/>
    </xf>
    <xf numFmtId="0" fontId="13" fillId="0" borderId="28" xfId="0" applyFont="1" applyBorder="1" applyAlignment="1">
      <alignment vertical="top"/>
    </xf>
    <xf numFmtId="0" fontId="13" fillId="0" borderId="28" xfId="0" applyFont="1" applyBorder="1" applyAlignment="1">
      <alignment vertical="top" wrapText="1"/>
    </xf>
    <xf numFmtId="169" fontId="0" fillId="0" borderId="11" xfId="0" applyNumberFormat="1" applyBorder="1"/>
    <xf numFmtId="0" fontId="0" fillId="0" borderId="1" xfId="0" applyBorder="1"/>
    <xf numFmtId="167" fontId="0" fillId="0" borderId="29" xfId="0" applyNumberFormat="1" applyBorder="1" applyAlignment="1">
      <alignment horizontal="left" vertical="top"/>
    </xf>
    <xf numFmtId="168" fontId="0" fillId="0" borderId="30" xfId="0" applyNumberFormat="1" applyBorder="1" applyAlignment="1">
      <alignment horizontal="left" vertical="top"/>
    </xf>
    <xf numFmtId="0" fontId="13" fillId="0" borderId="30" xfId="0" applyFont="1" applyBorder="1" applyAlignment="1">
      <alignment vertical="top"/>
    </xf>
    <xf numFmtId="0" fontId="13" fillId="0" borderId="30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1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169" fontId="0" fillId="0" borderId="31" xfId="0" applyNumberFormat="1" applyBorder="1" applyAlignment="1">
      <alignment horizontal="center" vertical="top"/>
    </xf>
    <xf numFmtId="170" fontId="0" fillId="0" borderId="31" xfId="0" applyNumberFormat="1" applyBorder="1" applyAlignment="1">
      <alignment horizontal="center" vertical="top"/>
    </xf>
    <xf numFmtId="170" fontId="0" fillId="0" borderId="29" xfId="0" applyNumberFormat="1" applyBorder="1" applyAlignment="1">
      <alignment horizontal="center" vertical="top"/>
    </xf>
    <xf numFmtId="170" fontId="0" fillId="0" borderId="26" xfId="0" applyNumberFormat="1" applyBorder="1" applyAlignment="1">
      <alignment horizontal="center" vertical="top"/>
    </xf>
    <xf numFmtId="0" fontId="14" fillId="0" borderId="30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30" xfId="0" applyFont="1" applyBorder="1" applyAlignment="1">
      <alignment vertical="top"/>
    </xf>
    <xf numFmtId="0" fontId="15" fillId="0" borderId="31" xfId="0" applyFont="1" applyBorder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15" fillId="0" borderId="26" xfId="0" applyFont="1" applyBorder="1" applyAlignment="1">
      <alignment horizontal="center" vertical="top"/>
    </xf>
    <xf numFmtId="170" fontId="15" fillId="0" borderId="31" xfId="0" applyNumberFormat="1" applyFont="1" applyBorder="1" applyAlignment="1">
      <alignment horizontal="center" vertical="top"/>
    </xf>
    <xf numFmtId="170" fontId="23" fillId="0" borderId="31" xfId="0" applyNumberFormat="1" applyFont="1" applyBorder="1" applyAlignment="1">
      <alignment horizontal="center" vertical="top"/>
    </xf>
    <xf numFmtId="170" fontId="23" fillId="0" borderId="29" xfId="0" applyNumberFormat="1" applyFont="1" applyBorder="1" applyAlignment="1">
      <alignment horizontal="center" vertical="top"/>
    </xf>
    <xf numFmtId="170" fontId="23" fillId="0" borderId="26" xfId="0" applyNumberFormat="1" applyFont="1" applyBorder="1" applyAlignment="1">
      <alignment horizontal="center" vertical="top"/>
    </xf>
    <xf numFmtId="0" fontId="19" fillId="0" borderId="30" xfId="0" applyFont="1" applyBorder="1" applyAlignment="1">
      <alignment vertical="top"/>
    </xf>
    <xf numFmtId="0" fontId="19" fillId="0" borderId="31" xfId="0" applyFont="1" applyBorder="1" applyAlignment="1">
      <alignment vertical="top"/>
    </xf>
    <xf numFmtId="0" fontId="21" fillId="0" borderId="31" xfId="0" applyFont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21" fillId="2" borderId="29" xfId="0" applyFont="1" applyFill="1" applyBorder="1" applyAlignment="1">
      <alignment horizontal="center" vertical="top"/>
    </xf>
    <xf numFmtId="0" fontId="21" fillId="2" borderId="26" xfId="0" applyFont="1" applyFill="1" applyBorder="1" applyAlignment="1">
      <alignment horizontal="center" vertical="top"/>
    </xf>
    <xf numFmtId="170" fontId="19" fillId="0" borderId="31" xfId="0" applyNumberFormat="1" applyFont="1" applyBorder="1" applyAlignment="1">
      <alignment horizontal="center" vertical="top"/>
    </xf>
    <xf numFmtId="170" fontId="19" fillId="0" borderId="29" xfId="0" applyNumberFormat="1" applyFont="1" applyBorder="1" applyAlignment="1">
      <alignment horizontal="center" vertical="top"/>
    </xf>
    <xf numFmtId="170" fontId="19" fillId="0" borderId="26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20" fillId="2" borderId="29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2" fillId="2" borderId="29" xfId="0" applyFont="1" applyFill="1" applyBorder="1" applyAlignment="1">
      <alignment horizontal="center" vertical="top"/>
    </xf>
    <xf numFmtId="0" fontId="22" fillId="2" borderId="26" xfId="0" applyFont="1" applyFill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1"/>
    </xf>
    <xf numFmtId="0" fontId="0" fillId="0" borderId="33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169" fontId="0" fillId="0" borderId="32" xfId="0" applyNumberFormat="1" applyBorder="1" applyAlignment="1">
      <alignment horizontal="center" vertical="top"/>
    </xf>
    <xf numFmtId="170" fontId="0" fillId="0" borderId="32" xfId="0" applyNumberFormat="1" applyBorder="1" applyAlignment="1">
      <alignment horizontal="center" vertical="top"/>
    </xf>
    <xf numFmtId="170" fontId="0" fillId="0" borderId="34" xfId="0" applyNumberFormat="1" applyBorder="1" applyAlignment="1">
      <alignment horizontal="center" vertical="top"/>
    </xf>
    <xf numFmtId="165" fontId="0" fillId="0" borderId="14" xfId="2" applyNumberFormat="1" applyFont="1" applyBorder="1" applyAlignment="1">
      <alignment horizontal="right" vertical="top"/>
    </xf>
    <xf numFmtId="165" fontId="15" fillId="0" borderId="14" xfId="2" applyNumberFormat="1" applyFont="1" applyBorder="1" applyAlignment="1">
      <alignment horizontal="right" vertical="top"/>
    </xf>
    <xf numFmtId="0" fontId="15" fillId="0" borderId="0" xfId="0" applyFont="1"/>
    <xf numFmtId="167" fontId="29" fillId="0" borderId="29" xfId="0" applyNumberFormat="1" applyFont="1" applyBorder="1" applyAlignment="1">
      <alignment horizontal="left" vertical="top"/>
    </xf>
    <xf numFmtId="168" fontId="29" fillId="0" borderId="30" xfId="0" applyNumberFormat="1" applyFont="1" applyBorder="1" applyAlignment="1">
      <alignment horizontal="left" vertical="top"/>
    </xf>
    <xf numFmtId="0" fontId="29" fillId="0" borderId="30" xfId="0" applyFont="1" applyBorder="1" applyAlignment="1">
      <alignment vertical="top" wrapText="1"/>
    </xf>
    <xf numFmtId="167" fontId="30" fillId="0" borderId="29" xfId="0" applyNumberFormat="1" applyFont="1" applyBorder="1" applyAlignment="1">
      <alignment horizontal="left" vertical="top"/>
    </xf>
    <xf numFmtId="168" fontId="30" fillId="0" borderId="30" xfId="0" applyNumberFormat="1" applyFont="1" applyBorder="1" applyAlignment="1">
      <alignment horizontal="left" vertical="top"/>
    </xf>
    <xf numFmtId="0" fontId="30" fillId="0" borderId="30" xfId="0" applyFont="1" applyBorder="1" applyAlignment="1">
      <alignment vertical="top" wrapText="1"/>
    </xf>
    <xf numFmtId="170" fontId="30" fillId="0" borderId="29" xfId="0" applyNumberFormat="1" applyFont="1" applyBorder="1" applyAlignment="1">
      <alignment horizontal="center" vertical="top"/>
    </xf>
    <xf numFmtId="170" fontId="30" fillId="0" borderId="26" xfId="0" applyNumberFormat="1" applyFont="1" applyBorder="1" applyAlignment="1">
      <alignment horizontal="center" vertical="top"/>
    </xf>
    <xf numFmtId="0" fontId="30" fillId="0" borderId="0" xfId="0" applyFont="1" applyAlignment="1">
      <alignment vertical="top"/>
    </xf>
    <xf numFmtId="0" fontId="19" fillId="0" borderId="30" xfId="0" applyFont="1" applyBorder="1" applyAlignment="1">
      <alignment vertical="top" wrapText="1"/>
    </xf>
    <xf numFmtId="0" fontId="19" fillId="0" borderId="28" xfId="0" applyFont="1" applyBorder="1" applyAlignment="1">
      <alignment vertical="top"/>
    </xf>
    <xf numFmtId="0" fontId="19" fillId="0" borderId="28" xfId="0" applyFont="1" applyBorder="1" applyAlignment="1">
      <alignment vertical="top" wrapText="1"/>
    </xf>
    <xf numFmtId="0" fontId="31" fillId="0" borderId="30" xfId="0" applyFont="1" applyBorder="1" applyAlignment="1">
      <alignment vertical="top" wrapText="1"/>
    </xf>
    <xf numFmtId="167" fontId="31" fillId="0" borderId="29" xfId="0" applyNumberFormat="1" applyFont="1" applyBorder="1" applyAlignment="1">
      <alignment horizontal="left" vertical="top"/>
    </xf>
    <xf numFmtId="168" fontId="31" fillId="0" borderId="30" xfId="0" applyNumberFormat="1" applyFont="1" applyBorder="1" applyAlignment="1">
      <alignment horizontal="left" vertical="top"/>
    </xf>
    <xf numFmtId="172" fontId="0" fillId="0" borderId="0" xfId="0" applyNumberFormat="1" applyAlignment="1">
      <alignment vertical="top"/>
    </xf>
    <xf numFmtId="0" fontId="32" fillId="0" borderId="14" xfId="0" applyFont="1" applyBorder="1" applyAlignment="1">
      <alignment horizontal="left" vertical="top" indent="1"/>
    </xf>
    <xf numFmtId="165" fontId="0" fillId="0" borderId="14" xfId="2" quotePrefix="1" applyNumberFormat="1" applyFont="1" applyBorder="1" applyAlignment="1">
      <alignment horizontal="center" vertical="top"/>
    </xf>
    <xf numFmtId="0" fontId="0" fillId="4" borderId="14" xfId="0" applyFill="1" applyBorder="1" applyAlignment="1">
      <alignment horizontal="left" vertical="top" indent="1"/>
    </xf>
    <xf numFmtId="171" fontId="0" fillId="4" borderId="14" xfId="1" applyNumberFormat="1" applyFont="1" applyFill="1" applyBorder="1" applyAlignment="1">
      <alignment horizontal="right" vertical="top"/>
    </xf>
    <xf numFmtId="165" fontId="0" fillId="4" borderId="14" xfId="2" applyNumberFormat="1" applyFont="1" applyFill="1" applyBorder="1" applyAlignment="1">
      <alignment horizontal="right" vertical="top"/>
    </xf>
    <xf numFmtId="0" fontId="2" fillId="4" borderId="14" xfId="0" applyFont="1" applyFill="1" applyBorder="1" applyAlignment="1">
      <alignment horizontal="left" vertical="top" indent="1"/>
    </xf>
    <xf numFmtId="165" fontId="25" fillId="4" borderId="14" xfId="2" applyNumberFormat="1" applyFont="1" applyFill="1" applyBorder="1" applyAlignment="1">
      <alignment horizontal="right" vertical="top"/>
    </xf>
    <xf numFmtId="171" fontId="2" fillId="3" borderId="14" xfId="1" applyNumberFormat="1" applyFont="1" applyFill="1" applyBorder="1" applyAlignment="1">
      <alignment horizontal="right" vertical="top"/>
    </xf>
    <xf numFmtId="0" fontId="15" fillId="0" borderId="9" xfId="0" applyFont="1" applyBorder="1" applyAlignment="1">
      <alignment horizontal="left" vertical="top" wrapText="1" indent="20"/>
    </xf>
    <xf numFmtId="0" fontId="14" fillId="0" borderId="0" xfId="0" applyFont="1" applyFill="1" applyBorder="1" applyAlignment="1">
      <alignment horizontal="left" vertical="top" wrapText="1" indent="20"/>
    </xf>
    <xf numFmtId="0" fontId="0" fillId="0" borderId="0" xfId="0" applyAlignment="1">
      <alignment horizontal="left" indent="20"/>
    </xf>
    <xf numFmtId="0" fontId="35" fillId="0" borderId="0" xfId="0" applyFont="1"/>
    <xf numFmtId="164" fontId="0" fillId="4" borderId="13" xfId="1" applyNumberFormat="1" applyFont="1" applyFill="1" applyBorder="1" applyAlignment="1">
      <alignment horizontal="right"/>
    </xf>
    <xf numFmtId="0" fontId="0" fillId="0" borderId="0" xfId="0" applyAlignment="1">
      <alignment horizontal="left" vertical="top" wrapText="1" indent="1"/>
    </xf>
    <xf numFmtId="0" fontId="26" fillId="0" borderId="0" xfId="0" applyFont="1" applyAlignment="1">
      <alignment horizontal="left" vertical="top" wrapText="1" indent="1"/>
    </xf>
    <xf numFmtId="0" fontId="0" fillId="0" borderId="0" xfId="0" applyFont="1" applyAlignment="1">
      <alignment horizontal="left" vertical="top" wrapText="1" inden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"/>
  <sheetViews>
    <sheetView tabSelected="1" zoomScaleNormal="100" workbookViewId="0"/>
  </sheetViews>
  <sheetFormatPr defaultRowHeight="14.3" outlineLevelRow="1" outlineLevelCol="1" x14ac:dyDescent="0.25"/>
  <cols>
    <col min="1" max="1" width="2.140625" customWidth="1"/>
    <col min="2" max="2" width="32.5703125" customWidth="1"/>
    <col min="3" max="3" width="63" customWidth="1"/>
    <col min="4" max="5" width="7.5703125" customWidth="1"/>
    <col min="6" max="6" width="7" customWidth="1"/>
    <col min="7" max="9" width="5.85546875" bestFit="1" customWidth="1"/>
    <col min="10" max="10" width="7" bestFit="1" customWidth="1"/>
    <col min="11" max="11" width="6.85546875" customWidth="1"/>
    <col min="12" max="13" width="3.7109375" hidden="1" customWidth="1" outlineLevel="1"/>
    <col min="14" max="14" width="9.140625" collapsed="1"/>
  </cols>
  <sheetData>
    <row r="2" spans="2:15" ht="20.7" x14ac:dyDescent="0.25">
      <c r="B2" s="1" t="s">
        <v>114</v>
      </c>
    </row>
    <row r="3" spans="2:15" x14ac:dyDescent="0.25">
      <c r="B3" s="193" t="s">
        <v>121</v>
      </c>
    </row>
    <row r="4" spans="2:15" ht="72.75" x14ac:dyDescent="0.25">
      <c r="B4" s="1"/>
      <c r="C4" s="31"/>
      <c r="D4" s="32"/>
      <c r="G4" s="33" t="s">
        <v>38</v>
      </c>
      <c r="H4" s="33" t="s">
        <v>39</v>
      </c>
      <c r="I4" s="33" t="s">
        <v>40</v>
      </c>
      <c r="J4" s="33" t="s">
        <v>41</v>
      </c>
      <c r="K4" s="33" t="s">
        <v>42</v>
      </c>
      <c r="L4" s="33" t="s">
        <v>43</v>
      </c>
      <c r="M4" s="33" t="s">
        <v>42</v>
      </c>
    </row>
    <row r="5" spans="2:15" ht="28.55" customHeight="1" x14ac:dyDescent="0.25">
      <c r="B5" s="2" t="s">
        <v>75</v>
      </c>
      <c r="C5" s="2" t="s">
        <v>19</v>
      </c>
      <c r="D5" s="3" t="s">
        <v>86</v>
      </c>
      <c r="E5" s="93" t="s">
        <v>101</v>
      </c>
      <c r="F5" s="93" t="s">
        <v>103</v>
      </c>
      <c r="G5" s="94">
        <v>1</v>
      </c>
      <c r="H5" s="94">
        <v>2</v>
      </c>
      <c r="I5" s="94">
        <v>3</v>
      </c>
      <c r="J5" s="94">
        <v>4</v>
      </c>
      <c r="K5" s="94">
        <v>5</v>
      </c>
      <c r="L5" s="94">
        <v>6</v>
      </c>
      <c r="M5" s="94">
        <v>7</v>
      </c>
    </row>
    <row r="6" spans="2:15" ht="14.3" hidden="1" customHeight="1" outlineLevel="1" x14ac:dyDescent="0.25">
      <c r="B6" s="98" t="s">
        <v>118</v>
      </c>
      <c r="C6" s="98" t="s">
        <v>93</v>
      </c>
      <c r="D6" s="99">
        <f>'Costs - all 70% avg'!S36</f>
        <v>5049</v>
      </c>
      <c r="E6" s="100">
        <f>D6/D7</f>
        <v>1.4496124031007751</v>
      </c>
      <c r="F6" s="100" t="s">
        <v>102</v>
      </c>
      <c r="G6" s="99">
        <f>'Costs - all 70% avg'!T36</f>
        <v>185</v>
      </c>
      <c r="H6" s="99">
        <f>'Costs - all 70% avg'!U36</f>
        <v>306</v>
      </c>
      <c r="I6" s="99">
        <f>'Costs - all 70% avg'!V36</f>
        <v>822</v>
      </c>
      <c r="J6" s="99">
        <f>'Costs - all 70% avg'!W36</f>
        <v>1784</v>
      </c>
      <c r="K6" s="99">
        <f>'Costs - all 70% avg'!X36</f>
        <v>1853</v>
      </c>
    </row>
    <row r="7" spans="2:15" collapsed="1" x14ac:dyDescent="0.25">
      <c r="B7" s="95" t="s">
        <v>107</v>
      </c>
      <c r="C7" s="95" t="s">
        <v>105</v>
      </c>
      <c r="D7" s="96">
        <f>'Costs - 26 lowest pro'!S36</f>
        <v>3483</v>
      </c>
      <c r="E7" s="163">
        <f>D7/D7</f>
        <v>1</v>
      </c>
      <c r="F7" s="183" t="s">
        <v>104</v>
      </c>
      <c r="G7" s="96">
        <f>'Costs - 26 lowest pro'!T36</f>
        <v>127</v>
      </c>
      <c r="H7" s="96">
        <f>'Costs - 26 lowest pro'!U36</f>
        <v>211</v>
      </c>
      <c r="I7" s="96">
        <f>'Costs - 26 lowest pro'!V36</f>
        <v>567</v>
      </c>
      <c r="J7" s="96">
        <f>'Costs - 26 lowest pro'!W36</f>
        <v>1231</v>
      </c>
      <c r="K7" s="96">
        <f>'Costs - 26 lowest pro'!X36</f>
        <v>1278</v>
      </c>
    </row>
    <row r="8" spans="2:15" x14ac:dyDescent="0.25">
      <c r="B8" s="184" t="s">
        <v>108</v>
      </c>
      <c r="C8" s="184" t="s">
        <v>106</v>
      </c>
      <c r="D8" s="189">
        <f>'Costs - 19 lowest pro'!S36</f>
        <v>2584</v>
      </c>
      <c r="E8" s="186">
        <f>D8/D7</f>
        <v>0.7418891759977031</v>
      </c>
      <c r="F8" s="186">
        <f>D8/D8</f>
        <v>1</v>
      </c>
      <c r="G8" s="185">
        <f>'Costs - 19 lowest pro'!T36</f>
        <v>96</v>
      </c>
      <c r="H8" s="185">
        <f>'Costs - 19 lowest pro'!U36</f>
        <v>159</v>
      </c>
      <c r="I8" s="185">
        <f>'Costs - 19 lowest pro'!V36</f>
        <v>425</v>
      </c>
      <c r="J8" s="185">
        <f>'Costs - 19 lowest pro'!W36</f>
        <v>923</v>
      </c>
      <c r="K8" s="185">
        <f>'Costs - 19 lowest pro'!X36</f>
        <v>948</v>
      </c>
    </row>
    <row r="9" spans="2:15" x14ac:dyDescent="0.25">
      <c r="B9" s="95" t="s">
        <v>87</v>
      </c>
      <c r="C9" s="95" t="s">
        <v>112</v>
      </c>
      <c r="D9" s="96">
        <f>D7*0.7</f>
        <v>2438.1</v>
      </c>
      <c r="E9" s="163">
        <f>D9/D7</f>
        <v>0.7</v>
      </c>
      <c r="F9" s="163">
        <f>D9/D8</f>
        <v>0.94353715170278629</v>
      </c>
      <c r="G9" s="96">
        <f t="shared" ref="G9:K9" si="0">G7*0.7</f>
        <v>88.899999999999991</v>
      </c>
      <c r="H9" s="96">
        <f t="shared" si="0"/>
        <v>147.69999999999999</v>
      </c>
      <c r="I9" s="96">
        <f t="shared" si="0"/>
        <v>396.9</v>
      </c>
      <c r="J9" s="96">
        <f t="shared" si="0"/>
        <v>861.69999999999993</v>
      </c>
      <c r="K9" s="96">
        <f t="shared" si="0"/>
        <v>894.59999999999991</v>
      </c>
    </row>
    <row r="10" spans="2:15" s="165" customFormat="1" outlineLevel="1" x14ac:dyDescent="0.25">
      <c r="B10" s="182" t="s">
        <v>94</v>
      </c>
      <c r="C10" s="182" t="s">
        <v>119</v>
      </c>
      <c r="D10" s="99">
        <f>'Costs - full 70% avg'!S36</f>
        <v>2057</v>
      </c>
      <c r="E10" s="164">
        <f>D10/D7</f>
        <v>0.59058283089290842</v>
      </c>
      <c r="F10" s="164">
        <f>D10/D8</f>
        <v>0.79605263157894735</v>
      </c>
      <c r="G10" s="99">
        <f>'Costs - full 70% avg'!T36</f>
        <v>78</v>
      </c>
      <c r="H10" s="99">
        <f>'Costs - full 70% avg'!U36</f>
        <v>130</v>
      </c>
      <c r="I10" s="99">
        <f>'Costs - full 70% avg'!V36</f>
        <v>348</v>
      </c>
      <c r="J10" s="99">
        <f>'Costs - full 70% avg'!W36</f>
        <v>755</v>
      </c>
      <c r="K10" s="99">
        <f>'Costs - full 70% avg'!X36</f>
        <v>755</v>
      </c>
    </row>
    <row r="11" spans="2:15" x14ac:dyDescent="0.25">
      <c r="B11" s="187" t="s">
        <v>109</v>
      </c>
      <c r="C11" s="187" t="s">
        <v>113</v>
      </c>
      <c r="D11" s="189">
        <f>'Costs - 26 proposed'!S36</f>
        <v>2090</v>
      </c>
      <c r="E11" s="188">
        <f>D11/D7</f>
        <v>0.60005742176284815</v>
      </c>
      <c r="F11" s="188">
        <f>D11/D8</f>
        <v>0.80882352941176472</v>
      </c>
      <c r="G11" s="185">
        <f>'Costs - 26 proposed'!T36</f>
        <v>79</v>
      </c>
      <c r="H11" s="185">
        <f>'Costs - 26 proposed'!U36</f>
        <v>132</v>
      </c>
      <c r="I11" s="185">
        <f>'Costs - 26 proposed'!V36</f>
        <v>353</v>
      </c>
      <c r="J11" s="185">
        <f>'Costs - 26 proposed'!W36</f>
        <v>767</v>
      </c>
      <c r="K11" s="185">
        <f>'Costs - 26 proposed'!X36</f>
        <v>767</v>
      </c>
    </row>
    <row r="12" spans="2:15" x14ac:dyDescent="0.25">
      <c r="B12" s="34"/>
      <c r="C12" s="34"/>
      <c r="D12" s="28"/>
      <c r="E12" s="28"/>
      <c r="F12" s="28"/>
      <c r="G12" s="28"/>
      <c r="H12" s="28"/>
      <c r="I12" s="28"/>
      <c r="J12" s="28"/>
      <c r="K12" s="28"/>
    </row>
    <row r="13" spans="2:15" ht="64.2" customHeight="1" x14ac:dyDescent="0.25">
      <c r="B13" s="97" t="s">
        <v>88</v>
      </c>
      <c r="C13" s="195" t="s">
        <v>95</v>
      </c>
      <c r="D13" s="195"/>
      <c r="E13" s="195"/>
      <c r="F13" s="195"/>
      <c r="G13" s="195"/>
      <c r="H13" s="195"/>
      <c r="I13" s="195"/>
      <c r="J13" s="195"/>
      <c r="K13" s="195"/>
    </row>
    <row r="14" spans="2:15" ht="33.5" customHeight="1" x14ac:dyDescent="0.25">
      <c r="B14" s="97" t="s">
        <v>89</v>
      </c>
      <c r="C14" s="196" t="s">
        <v>120</v>
      </c>
      <c r="D14" s="196"/>
      <c r="E14" s="196"/>
      <c r="F14" s="196"/>
      <c r="G14" s="196"/>
      <c r="H14" s="196"/>
      <c r="I14" s="196"/>
      <c r="J14" s="196"/>
      <c r="K14" s="196"/>
      <c r="N14" s="181"/>
      <c r="O14" s="181"/>
    </row>
    <row r="15" spans="2:15" ht="34.25" customHeight="1" x14ac:dyDescent="0.25">
      <c r="B15" s="97" t="s">
        <v>90</v>
      </c>
      <c r="C15" s="197" t="s">
        <v>111</v>
      </c>
      <c r="D15" s="197"/>
      <c r="E15" s="197"/>
      <c r="F15" s="197"/>
      <c r="G15" s="197"/>
      <c r="H15" s="197"/>
      <c r="I15" s="197"/>
      <c r="J15" s="197"/>
      <c r="K15" s="197"/>
    </row>
    <row r="16" spans="2:15" ht="42.8" customHeight="1" x14ac:dyDescent="0.25">
      <c r="B16" s="97" t="s">
        <v>91</v>
      </c>
      <c r="C16" s="195" t="s">
        <v>96</v>
      </c>
      <c r="D16" s="195"/>
      <c r="E16" s="195"/>
      <c r="F16" s="195"/>
      <c r="G16" s="195"/>
      <c r="H16" s="195"/>
      <c r="I16" s="195"/>
      <c r="J16" s="195"/>
      <c r="K16" s="195"/>
    </row>
    <row r="17" spans="2:3" x14ac:dyDescent="0.25">
      <c r="B17" s="34"/>
      <c r="C17" s="34"/>
    </row>
    <row r="18" spans="2:3" x14ac:dyDescent="0.25">
      <c r="B18" s="34"/>
      <c r="C18" s="34"/>
    </row>
  </sheetData>
  <mergeCells count="4">
    <mergeCell ref="C13:K13"/>
    <mergeCell ref="C14:K14"/>
    <mergeCell ref="C15:K15"/>
    <mergeCell ref="C16:K16"/>
  </mergeCells>
  <pageMargins left="0.5" right="0.55000000000000004" top="0.5" bottom="0.25" header="0" footer="0"/>
  <pageSetup scale="84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8"/>
  <sheetViews>
    <sheetView workbookViewId="0"/>
  </sheetViews>
  <sheetFormatPr defaultRowHeight="14.3" x14ac:dyDescent="0.25"/>
  <cols>
    <col min="1" max="1" width="2.140625" customWidth="1"/>
    <col min="2" max="2" width="13.42578125" customWidth="1"/>
    <col min="3" max="3" width="11.42578125" customWidth="1"/>
    <col min="4" max="4" width="16.85546875" customWidth="1"/>
    <col min="5" max="5" width="17.5703125" customWidth="1"/>
    <col min="6" max="6" width="11.28515625" customWidth="1"/>
    <col min="7" max="7" width="14.42578125" customWidth="1"/>
    <col min="8" max="8" width="13.85546875" customWidth="1"/>
    <col min="9" max="9" width="9.7109375" customWidth="1"/>
    <col min="10" max="10" width="12" customWidth="1"/>
    <col min="11" max="11" width="9.5703125" customWidth="1"/>
    <col min="12" max="12" width="8" customWidth="1"/>
    <col min="13" max="13" width="10" bestFit="1" customWidth="1"/>
  </cols>
  <sheetData>
    <row r="2" spans="2:13" ht="20.7" x14ac:dyDescent="0.25">
      <c r="B2" s="1" t="s">
        <v>0</v>
      </c>
    </row>
    <row r="3" spans="2:13" ht="20.7" x14ac:dyDescent="0.25">
      <c r="B3" s="1"/>
    </row>
    <row r="4" spans="2:13" ht="16.399999999999999" x14ac:dyDescent="0.3">
      <c r="B4" s="5" t="s">
        <v>98</v>
      </c>
    </row>
    <row r="5" spans="2:13" ht="36" customHeight="1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</row>
    <row r="6" spans="2:13" x14ac:dyDescent="0.25">
      <c r="B6" s="40" t="s">
        <v>13</v>
      </c>
      <c r="C6" s="41">
        <v>12</v>
      </c>
      <c r="D6" s="41">
        <v>0</v>
      </c>
      <c r="E6" s="41">
        <v>0</v>
      </c>
      <c r="F6" s="41">
        <v>12</v>
      </c>
      <c r="G6" s="41">
        <v>110</v>
      </c>
      <c r="H6" s="41">
        <f>F6*G6</f>
        <v>1320</v>
      </c>
      <c r="I6" s="41">
        <v>3</v>
      </c>
      <c r="J6" s="41">
        <v>125</v>
      </c>
      <c r="K6" s="42">
        <f>I6*J6</f>
        <v>375</v>
      </c>
      <c r="L6" s="41">
        <f>E6+H6+K6</f>
        <v>1695</v>
      </c>
      <c r="M6" s="194">
        <f>ROUND(L6/C6, 0)</f>
        <v>141</v>
      </c>
    </row>
    <row r="7" spans="2:13" x14ac:dyDescent="0.25">
      <c r="B7" s="43" t="s">
        <v>80</v>
      </c>
      <c r="C7" s="41">
        <v>12</v>
      </c>
      <c r="D7" s="44">
        <v>0</v>
      </c>
      <c r="E7" s="44">
        <v>0</v>
      </c>
      <c r="F7" s="44">
        <f>C7-D7</f>
        <v>12</v>
      </c>
      <c r="G7" s="44">
        <v>240</v>
      </c>
      <c r="H7" s="44">
        <f>F7*G7</f>
        <v>2880</v>
      </c>
      <c r="I7" s="44">
        <v>7</v>
      </c>
      <c r="J7" s="44">
        <v>175</v>
      </c>
      <c r="K7" s="45">
        <f>I7*J7</f>
        <v>1225</v>
      </c>
      <c r="L7" s="44">
        <f>E7+H7+K7</f>
        <v>4105</v>
      </c>
      <c r="M7" s="44">
        <f>ROUND(L7/C7, 0)</f>
        <v>342</v>
      </c>
    </row>
    <row r="8" spans="2:13" x14ac:dyDescent="0.25">
      <c r="B8" s="43" t="s">
        <v>14</v>
      </c>
      <c r="C8" s="41">
        <v>12</v>
      </c>
      <c r="D8" s="44">
        <v>0</v>
      </c>
      <c r="E8" s="44">
        <v>0</v>
      </c>
      <c r="F8" s="44">
        <f>C8-D8</f>
        <v>12</v>
      </c>
      <c r="G8" s="44">
        <v>225</v>
      </c>
      <c r="H8" s="44">
        <f t="shared" ref="H8" si="0">F8*G8</f>
        <v>2700</v>
      </c>
      <c r="I8" s="44">
        <v>15</v>
      </c>
      <c r="J8" s="44">
        <v>120</v>
      </c>
      <c r="K8" s="45">
        <f>I8*J8</f>
        <v>1800</v>
      </c>
      <c r="L8" s="44">
        <f>E8+H8+K8</f>
        <v>4500</v>
      </c>
      <c r="M8" s="44">
        <f t="shared" ref="M8" si="1">ROUND(L8/C8, 0)</f>
        <v>375</v>
      </c>
    </row>
    <row r="9" spans="2:13" x14ac:dyDescent="0.25">
      <c r="L9" s="4"/>
      <c r="M9" s="4"/>
    </row>
    <row r="10" spans="2:13" x14ac:dyDescent="0.25">
      <c r="L10" s="4" t="s">
        <v>15</v>
      </c>
      <c r="M10" s="46">
        <f>ROUND(AVERAGE(M6:M8), 0)</f>
        <v>286</v>
      </c>
    </row>
    <row r="11" spans="2:13" ht="2" customHeight="1" x14ac:dyDescent="0.25">
      <c r="L11" s="4"/>
      <c r="M11" s="46"/>
    </row>
    <row r="12" spans="2:13" x14ac:dyDescent="0.25">
      <c r="L12" s="4" t="s">
        <v>76</v>
      </c>
      <c r="M12" s="46">
        <f>ROUND(MIN(M6:M8), 0)</f>
        <v>141</v>
      </c>
    </row>
    <row r="13" spans="2:13" ht="2" customHeight="1" x14ac:dyDescent="0.25">
      <c r="L13" s="4"/>
      <c r="M13" s="46"/>
    </row>
    <row r="14" spans="2:13" x14ac:dyDescent="0.25">
      <c r="L14" s="4" t="s">
        <v>16</v>
      </c>
      <c r="M14" s="46">
        <f>ROUND(M10*0.7, 0)</f>
        <v>200</v>
      </c>
    </row>
    <row r="16" spans="2:13" ht="16.399999999999999" x14ac:dyDescent="0.3">
      <c r="B16" s="5" t="s">
        <v>100</v>
      </c>
    </row>
    <row r="17" spans="2:13" ht="36" customHeight="1" x14ac:dyDescent="0.25">
      <c r="B17" s="2" t="s">
        <v>1</v>
      </c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  <c r="H17" s="3" t="s">
        <v>7</v>
      </c>
      <c r="I17" s="3" t="s">
        <v>8</v>
      </c>
      <c r="J17" s="3" t="s">
        <v>9</v>
      </c>
      <c r="K17" s="3" t="s">
        <v>10</v>
      </c>
      <c r="L17" s="3" t="s">
        <v>11</v>
      </c>
      <c r="M17" s="3" t="s">
        <v>12</v>
      </c>
    </row>
    <row r="18" spans="2:13" x14ac:dyDescent="0.25">
      <c r="B18" s="40" t="s">
        <v>13</v>
      </c>
      <c r="C18" s="41">
        <v>26</v>
      </c>
      <c r="D18" s="41">
        <f>D6</f>
        <v>0</v>
      </c>
      <c r="E18" s="41">
        <f>E6</f>
        <v>0</v>
      </c>
      <c r="F18" s="41">
        <v>26</v>
      </c>
      <c r="G18" s="41">
        <v>110</v>
      </c>
      <c r="H18" s="41">
        <f>F18*G18</f>
        <v>2860</v>
      </c>
      <c r="I18" s="41">
        <v>4</v>
      </c>
      <c r="J18" s="41">
        <v>125</v>
      </c>
      <c r="K18" s="42">
        <f>I18*J18</f>
        <v>500</v>
      </c>
      <c r="L18" s="41">
        <f>E18+H18+K18</f>
        <v>3360</v>
      </c>
      <c r="M18" s="194">
        <f>ROUND(L18/C18, 0)</f>
        <v>129</v>
      </c>
    </row>
    <row r="19" spans="2:13" x14ac:dyDescent="0.25">
      <c r="B19" s="43" t="s">
        <v>80</v>
      </c>
      <c r="C19" s="41">
        <v>26</v>
      </c>
      <c r="D19" s="44">
        <v>0</v>
      </c>
      <c r="E19" s="44">
        <v>0</v>
      </c>
      <c r="F19" s="41">
        <v>26</v>
      </c>
      <c r="G19" s="44">
        <v>240</v>
      </c>
      <c r="H19" s="44">
        <f>F19*G19</f>
        <v>6240</v>
      </c>
      <c r="I19" s="44">
        <v>12</v>
      </c>
      <c r="J19" s="44">
        <v>175</v>
      </c>
      <c r="K19" s="45">
        <f>I19*J19</f>
        <v>2100</v>
      </c>
      <c r="L19" s="44">
        <f>E19+H19+K19</f>
        <v>8340</v>
      </c>
      <c r="M19" s="44">
        <f>ROUND(L19/C19, 0)</f>
        <v>321</v>
      </c>
    </row>
    <row r="20" spans="2:13" x14ac:dyDescent="0.25">
      <c r="B20" s="43" t="s">
        <v>14</v>
      </c>
      <c r="C20" s="41">
        <v>26</v>
      </c>
      <c r="D20" s="44">
        <f>D8</f>
        <v>0</v>
      </c>
      <c r="E20" s="44">
        <f>E8</f>
        <v>0</v>
      </c>
      <c r="F20" s="41">
        <v>26</v>
      </c>
      <c r="G20" s="44">
        <f>G8</f>
        <v>225</v>
      </c>
      <c r="H20" s="44">
        <f t="shared" ref="H20" si="2">F20*G20</f>
        <v>5850</v>
      </c>
      <c r="I20" s="44">
        <v>27</v>
      </c>
      <c r="J20" s="44">
        <f>J8</f>
        <v>120</v>
      </c>
      <c r="K20" s="45">
        <f>I20*J20</f>
        <v>3240</v>
      </c>
      <c r="L20" s="44">
        <f>E20+H20+K20</f>
        <v>9090</v>
      </c>
      <c r="M20" s="44">
        <f t="shared" ref="M20" si="3">ROUND(L20/C20, 0)</f>
        <v>350</v>
      </c>
    </row>
    <row r="21" spans="2:13" x14ac:dyDescent="0.25">
      <c r="L21" s="4"/>
      <c r="M21" s="4"/>
    </row>
    <row r="22" spans="2:13" x14ac:dyDescent="0.25">
      <c r="L22" s="4" t="s">
        <v>15</v>
      </c>
      <c r="M22" s="46">
        <f>ROUND(AVERAGE(M18:M20), 0)</f>
        <v>267</v>
      </c>
    </row>
    <row r="23" spans="2:13" ht="2" customHeight="1" x14ac:dyDescent="0.25">
      <c r="L23" s="4"/>
      <c r="M23" s="46"/>
    </row>
    <row r="24" spans="2:13" x14ac:dyDescent="0.25">
      <c r="L24" s="4" t="s">
        <v>76</v>
      </c>
      <c r="M24" s="46">
        <f>ROUND(MIN(M18:M20), 0)</f>
        <v>129</v>
      </c>
    </row>
    <row r="25" spans="2:13" ht="2" customHeight="1" x14ac:dyDescent="0.25">
      <c r="L25" s="4"/>
      <c r="M25" s="4"/>
    </row>
    <row r="26" spans="2:13" x14ac:dyDescent="0.25">
      <c r="L26" s="4" t="s">
        <v>16</v>
      </c>
      <c r="M26" s="46">
        <f>ROUND(M22*0.7, 0)</f>
        <v>187</v>
      </c>
    </row>
    <row r="28" spans="2:13" ht="16.399999999999999" x14ac:dyDescent="0.3">
      <c r="B28" s="5" t="s">
        <v>99</v>
      </c>
    </row>
    <row r="29" spans="2:13" ht="42.8" x14ac:dyDescent="0.25">
      <c r="B29" s="2" t="s">
        <v>1</v>
      </c>
      <c r="C29" s="3" t="s">
        <v>2</v>
      </c>
      <c r="D29" s="3" t="s">
        <v>3</v>
      </c>
      <c r="E29" s="3" t="s">
        <v>4</v>
      </c>
      <c r="F29" s="3" t="s">
        <v>5</v>
      </c>
      <c r="G29" s="3" t="s">
        <v>6</v>
      </c>
      <c r="H29" s="3" t="s">
        <v>7</v>
      </c>
      <c r="I29" s="3" t="s">
        <v>8</v>
      </c>
      <c r="J29" s="3" t="s">
        <v>9</v>
      </c>
      <c r="K29" s="3" t="s">
        <v>10</v>
      </c>
      <c r="L29" s="3" t="s">
        <v>11</v>
      </c>
      <c r="M29" s="3" t="s">
        <v>12</v>
      </c>
    </row>
    <row r="30" spans="2:13" x14ac:dyDescent="0.25">
      <c r="B30" s="40" t="s">
        <v>13</v>
      </c>
      <c r="C30" s="41">
        <v>19</v>
      </c>
      <c r="D30" s="41">
        <f>D18</f>
        <v>0</v>
      </c>
      <c r="E30" s="41">
        <f>E18</f>
        <v>0</v>
      </c>
      <c r="F30" s="41">
        <v>19</v>
      </c>
      <c r="G30" s="41">
        <v>110</v>
      </c>
      <c r="H30" s="41">
        <f>F30*G30</f>
        <v>2090</v>
      </c>
      <c r="I30" s="41">
        <v>4</v>
      </c>
      <c r="J30" s="41">
        <v>125</v>
      </c>
      <c r="K30" s="42">
        <f>I30*J30</f>
        <v>500</v>
      </c>
      <c r="L30" s="41">
        <f>E30+H30+K30</f>
        <v>2590</v>
      </c>
      <c r="M30" s="194">
        <f>ROUND(L30/C30, 0)</f>
        <v>136</v>
      </c>
    </row>
    <row r="31" spans="2:13" x14ac:dyDescent="0.25">
      <c r="B31" s="43" t="s">
        <v>80</v>
      </c>
      <c r="C31" s="41">
        <v>19</v>
      </c>
      <c r="D31" s="44">
        <v>0</v>
      </c>
      <c r="E31" s="44">
        <v>0</v>
      </c>
      <c r="F31" s="41">
        <v>19</v>
      </c>
      <c r="G31" s="44">
        <v>240</v>
      </c>
      <c r="H31" s="44">
        <f>F31*G31</f>
        <v>4560</v>
      </c>
      <c r="I31" s="44">
        <v>12</v>
      </c>
      <c r="J31" s="44">
        <v>175</v>
      </c>
      <c r="K31" s="45">
        <f>I31*J31</f>
        <v>2100</v>
      </c>
      <c r="L31" s="44">
        <f>E31+H31+K31</f>
        <v>6660</v>
      </c>
      <c r="M31" s="44">
        <f>ROUND(L31/C31, 0)</f>
        <v>351</v>
      </c>
    </row>
    <row r="32" spans="2:13" x14ac:dyDescent="0.25">
      <c r="B32" s="43" t="s">
        <v>14</v>
      </c>
      <c r="C32" s="41">
        <v>19</v>
      </c>
      <c r="D32" s="44">
        <f>D20</f>
        <v>0</v>
      </c>
      <c r="E32" s="44">
        <f>E20</f>
        <v>0</v>
      </c>
      <c r="F32" s="41">
        <v>19</v>
      </c>
      <c r="G32" s="44">
        <f>G20</f>
        <v>225</v>
      </c>
      <c r="H32" s="44">
        <f t="shared" ref="H32" si="4">F32*G32</f>
        <v>4275</v>
      </c>
      <c r="I32" s="44">
        <v>27</v>
      </c>
      <c r="J32" s="44">
        <f>J20</f>
        <v>120</v>
      </c>
      <c r="K32" s="45">
        <f>I32*J32</f>
        <v>3240</v>
      </c>
      <c r="L32" s="44">
        <f>E32+H32+K32</f>
        <v>7515</v>
      </c>
      <c r="M32" s="44">
        <f t="shared" ref="M32" si="5">ROUND(L32/C32, 0)</f>
        <v>396</v>
      </c>
    </row>
    <row r="33" spans="12:13" x14ac:dyDescent="0.25">
      <c r="L33" s="4"/>
      <c r="M33" s="4"/>
    </row>
    <row r="34" spans="12:13" x14ac:dyDescent="0.25">
      <c r="L34" s="4" t="s">
        <v>15</v>
      </c>
      <c r="M34" s="46">
        <f>ROUND(AVERAGE(M30:M32), 0)</f>
        <v>294</v>
      </c>
    </row>
    <row r="35" spans="12:13" ht="2" customHeight="1" x14ac:dyDescent="0.25">
      <c r="L35" s="4"/>
      <c r="M35" s="46"/>
    </row>
    <row r="36" spans="12:13" x14ac:dyDescent="0.25">
      <c r="L36" s="4" t="s">
        <v>76</v>
      </c>
      <c r="M36" s="46">
        <f>ROUND(MIN(M30:M32), 0)</f>
        <v>136</v>
      </c>
    </row>
    <row r="37" spans="12:13" ht="2" customHeight="1" x14ac:dyDescent="0.25">
      <c r="L37" s="4"/>
      <c r="M37" s="4"/>
    </row>
    <row r="38" spans="12:13" x14ac:dyDescent="0.25">
      <c r="L38" s="4" t="s">
        <v>16</v>
      </c>
      <c r="M38" s="46">
        <f>ROUND(M34*0.7, 0)</f>
        <v>206</v>
      </c>
    </row>
  </sheetData>
  <pageMargins left="0.5" right="0.5" top="0.5" bottom="0.25" header="0" footer="0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x14ac:dyDescent="0.25">
      <c r="B2" s="204" t="s">
        <v>117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49">
        <v>1</v>
      </c>
      <c r="I4" s="50">
        <v>2</v>
      </c>
      <c r="J4" s="50">
        <v>3</v>
      </c>
      <c r="K4" s="50">
        <v>4</v>
      </c>
      <c r="L4" s="50">
        <v>5</v>
      </c>
      <c r="M4" s="50">
        <v>6</v>
      </c>
      <c r="N4" s="51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76" t="s">
        <v>63</v>
      </c>
      <c r="E5" s="177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32" t="s">
        <v>63</v>
      </c>
      <c r="E6" s="175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0</v>
      </c>
      <c r="T7" s="129">
        <f>IF(H7="x",$S7*Percentages!C$18, 0)</f>
        <v>0</v>
      </c>
      <c r="U7" s="130">
        <f>IF(I7="x",$S7*Percentages!D$18, 0)</f>
        <v>0</v>
      </c>
      <c r="V7" s="130">
        <f>IF(J7="x",$S7*Percentages!E$18, 0)</f>
        <v>0</v>
      </c>
      <c r="W7" s="130">
        <f>IF(K7="x",$S7*Percentages!F$18, 0)</f>
        <v>0</v>
      </c>
      <c r="X7" s="130">
        <f>IF(L7="x",$S7*Percentages!G$18, 0)</f>
        <v>0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66">
        <v>43802</v>
      </c>
      <c r="C8" s="167">
        <v>0.66666666666666663</v>
      </c>
      <c r="D8" s="168" t="s">
        <v>68</v>
      </c>
      <c r="E8" s="168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190</v>
      </c>
      <c r="T8" s="138">
        <f>IF(H8="x",$S8*Percentages!C$18, 0)</f>
        <v>7.22</v>
      </c>
      <c r="U8" s="139">
        <f>IF(I8="x",$S8*Percentages!D$18, 0)</f>
        <v>11.97</v>
      </c>
      <c r="V8" s="139">
        <f>IF(J8="x",$S8*Percentages!E$18, 0)</f>
        <v>32.11</v>
      </c>
      <c r="W8" s="139">
        <f>IF(K8="x",$S8*Percentages!F$18, 0)</f>
        <v>69.73</v>
      </c>
      <c r="X8" s="139">
        <f>IF(L8="x",$S8*Percentages!G$18, 0)</f>
        <v>69.73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0</v>
      </c>
      <c r="T9" s="129">
        <f>IF(H9="x",$S9*Percentages!C$18, 0)</f>
        <v>0</v>
      </c>
      <c r="U9" s="130">
        <f>IF(I9="x",$S9*Percentages!D$18, 0)</f>
        <v>0</v>
      </c>
      <c r="V9" s="130">
        <f>IF(J9="x",$S9*Percentages!E$18, 0)</f>
        <v>0</v>
      </c>
      <c r="W9" s="130">
        <f>IF(K9="x",$S9*Percentages!F$18, 0)</f>
        <v>0</v>
      </c>
      <c r="X9" s="130">
        <f>IF(L9="x",$S9*Percentages!G$18, 0)</f>
        <v>0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69">
        <v>43805</v>
      </c>
      <c r="C10" s="170">
        <v>0.375</v>
      </c>
      <c r="D10" s="171" t="s">
        <v>68</v>
      </c>
      <c r="E10" s="17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0</v>
      </c>
      <c r="T10" s="129">
        <f>IF(H10="x",$S10*Percentages!C$18, 0)</f>
        <v>0</v>
      </c>
      <c r="U10" s="130">
        <f>IF(I10="x",$S10*Percentages!D$18, 0)</f>
        <v>0</v>
      </c>
      <c r="V10" s="130">
        <f>IF(J10="x",$S10*Percentages!E$18, 0)</f>
        <v>0</v>
      </c>
      <c r="W10" s="130">
        <f>IF(K10="x",$S10*Percentages!F$18, 0)</f>
        <v>0</v>
      </c>
      <c r="X10" s="130">
        <f>IF(L10="x",$S10*Percentages!G$18, 0)</f>
        <v>0</v>
      </c>
      <c r="Y10" s="130">
        <f>IF(M10="x",$S10*Percentages!H$17, 0)</f>
        <v>0</v>
      </c>
      <c r="Z10" s="131">
        <f>IF(N10="x",$S10*Percentages!I$17, 0)</f>
        <v>0</v>
      </c>
    </row>
    <row r="11" spans="2:26" s="28" customFormat="1" x14ac:dyDescent="0.25">
      <c r="B11" s="169">
        <v>43816</v>
      </c>
      <c r="C11" s="170">
        <v>0.58333333333333337</v>
      </c>
      <c r="D11" s="171" t="s">
        <v>68</v>
      </c>
      <c r="E11" s="17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43"/>
      <c r="S11" s="118">
        <f>$F$37</f>
        <v>190</v>
      </c>
      <c r="T11" s="138">
        <f>IF(H11="x",$S11*Percentages!C$18, 0)</f>
        <v>7.22</v>
      </c>
      <c r="U11" s="139">
        <f>IF(I11="x",$S11*Percentages!D$18, 0)</f>
        <v>11.97</v>
      </c>
      <c r="V11" s="139">
        <f>IF(J11="x",$S11*Percentages!E$18, 0)</f>
        <v>32.11</v>
      </c>
      <c r="W11" s="139">
        <f>IF(K11="x",$S11*Percentages!F$18, 0)</f>
        <v>69.73</v>
      </c>
      <c r="X11" s="139">
        <f>IF(L11="x",$S11*Percentages!G$18, 0)</f>
        <v>69.73</v>
      </c>
      <c r="Y11" s="139">
        <f>IF(M11="x",$S11*Percentages!H$17, 0)</f>
        <v>0</v>
      </c>
      <c r="Z11" s="140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0</v>
      </c>
      <c r="T12" s="129">
        <f>IF(H12="x",$S12*Percentages!C$18, 0)</f>
        <v>0</v>
      </c>
      <c r="U12" s="130">
        <f>IF(I12="x",$S12*Percentages!D$18, 0)</f>
        <v>0</v>
      </c>
      <c r="V12" s="130">
        <f>IF(J12="x",$S12*Percentages!E$18, 0)</f>
        <v>0</v>
      </c>
      <c r="W12" s="130">
        <f>IF(K12="x",$S12*Percentages!F$18, 0)</f>
        <v>0</v>
      </c>
      <c r="X12" s="130">
        <f>IF(L12="x",$S12*Percentages!G$18, 0)</f>
        <v>0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190</v>
      </c>
      <c r="T13" s="138">
        <f>IF(H13="x",$S13*Percentages!C$18, 0)</f>
        <v>7.22</v>
      </c>
      <c r="U13" s="139">
        <f>IF(I13="x",$S13*Percentages!D$18, 0)</f>
        <v>11.97</v>
      </c>
      <c r="V13" s="139">
        <f>IF(J13="x",$S13*Percentages!E$18, 0)</f>
        <v>32.11</v>
      </c>
      <c r="W13" s="139">
        <f>IF(K13="x",$S13*Percentages!F$18, 0)</f>
        <v>69.73</v>
      </c>
      <c r="X13" s="139">
        <f>IF(L13="x",$S13*Percentages!G$18, 0)</f>
        <v>69.73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66">
        <v>43830</v>
      </c>
      <c r="C14" s="167">
        <v>0.6875</v>
      </c>
      <c r="D14" s="168" t="s">
        <v>68</v>
      </c>
      <c r="E14" s="168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190</v>
      </c>
      <c r="T14" s="138">
        <f>IF(H14="x",$S14*Percentages!C$18, 0)</f>
        <v>7.22</v>
      </c>
      <c r="U14" s="139">
        <f>IF(I14="x",$S14*Percentages!D$18, 0)</f>
        <v>11.97</v>
      </c>
      <c r="V14" s="139">
        <f>IF(J14="x",$S14*Percentages!E$18, 0)</f>
        <v>32.11</v>
      </c>
      <c r="W14" s="139">
        <f>IF(K14="x",$S14*Percentages!F$18, 0)</f>
        <v>69.73</v>
      </c>
      <c r="X14" s="139">
        <f>IF(L14="x",$S14*Percentages!G$18, 0)</f>
        <v>69.73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0</v>
      </c>
      <c r="T15" s="129">
        <f>IF(H15="x",$S15*Percentages!C$18, 0)</f>
        <v>0</v>
      </c>
      <c r="U15" s="130">
        <f>IF(I15="x",$S15*Percentages!D$18, 0)</f>
        <v>0</v>
      </c>
      <c r="V15" s="130">
        <f>IF(J15="x",$S15*Percentages!E$18, 0)</f>
        <v>0</v>
      </c>
      <c r="W15" s="130">
        <f>IF(K15="x",$S15*Percentages!F$18, 0)</f>
        <v>0</v>
      </c>
      <c r="X15" s="130">
        <f>IF(L15="x",$S15*Percentages!G$18, 0)</f>
        <v>0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79">
        <v>43834</v>
      </c>
      <c r="C16" s="180">
        <v>0.625</v>
      </c>
      <c r="D16" s="178" t="s">
        <v>68</v>
      </c>
      <c r="E16" s="178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0</v>
      </c>
      <c r="T16" s="129">
        <f>IF(H16="x",$S16*Percentages!C$18, 0)</f>
        <v>0</v>
      </c>
      <c r="U16" s="130">
        <f>IF(I16="x",$S16*Percentages!D$18, 0)</f>
        <v>0</v>
      </c>
      <c r="V16" s="130">
        <f>IF(J16="x",$S16*Percentages!E$18, 0)</f>
        <v>0</v>
      </c>
      <c r="W16" s="130">
        <f>IF(K16="x",$S16*Percentages!F$18, 0)</f>
        <v>0</v>
      </c>
      <c r="X16" s="130">
        <f>IF(L16="x",$S16*Percentages!G$18, 0)</f>
        <v>0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79">
        <v>43837</v>
      </c>
      <c r="C17" s="180">
        <v>0.91666666666666663</v>
      </c>
      <c r="D17" s="178" t="s">
        <v>68</v>
      </c>
      <c r="E17" s="178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0</v>
      </c>
      <c r="T17" s="129">
        <f>IF(H17="x",$S17*Percentages!C$18, 0)</f>
        <v>0</v>
      </c>
      <c r="U17" s="130">
        <f>IF(I17="x",$S17*Percentages!D$18, 0)</f>
        <v>0</v>
      </c>
      <c r="V17" s="130">
        <f>IF(J17="x",$S17*Percentages!E$18, 0)</f>
        <v>0</v>
      </c>
      <c r="W17" s="130">
        <f>IF(K17="x",$S17*Percentages!F$18, 0)</f>
        <v>0</v>
      </c>
      <c r="X17" s="130">
        <f>IF(L17="x",$S17*Percentages!G$18, 0)</f>
        <v>0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79">
        <v>43839</v>
      </c>
      <c r="C18" s="180">
        <v>0.66666666666666663</v>
      </c>
      <c r="D18" s="178" t="s">
        <v>68</v>
      </c>
      <c r="E18" s="178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0</v>
      </c>
      <c r="T18" s="129">
        <f>IF(H18="x",$S18*Percentages!C$18, 0)</f>
        <v>0</v>
      </c>
      <c r="U18" s="130">
        <f>IF(I18="x",$S18*Percentages!D$18, 0)</f>
        <v>0</v>
      </c>
      <c r="V18" s="130">
        <f>IF(J18="x",$S18*Percentages!E$18, 0)</f>
        <v>0</v>
      </c>
      <c r="W18" s="130">
        <f>IF(K18="x",$S18*Percentages!F$18, 0)</f>
        <v>0</v>
      </c>
      <c r="X18" s="130">
        <f>IF(L18="x",$S18*Percentages!G$18, 0)</f>
        <v>0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69">
        <v>43844</v>
      </c>
      <c r="C19" s="170">
        <v>0.60416666666666663</v>
      </c>
      <c r="D19" s="171" t="s">
        <v>68</v>
      </c>
      <c r="E19" s="17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190</v>
      </c>
      <c r="T19" s="138">
        <f>IF(H19="x",$S19*Percentages!C$18, 0)</f>
        <v>7.22</v>
      </c>
      <c r="U19" s="139">
        <f>IF(I19="x",$S19*Percentages!D$18, 0)</f>
        <v>11.97</v>
      </c>
      <c r="V19" s="139">
        <f>IF(J19="x",$S19*Percentages!E$18, 0)</f>
        <v>32.11</v>
      </c>
      <c r="W19" s="139">
        <f>IF(K19="x",$S19*Percentages!F$18, 0)</f>
        <v>69.73</v>
      </c>
      <c r="X19" s="139">
        <f>IF(L19="x",$S19*Percentages!G$18, 0)</f>
        <v>69.73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66">
        <v>43846</v>
      </c>
      <c r="C20" s="167">
        <v>0.625</v>
      </c>
      <c r="D20" s="168" t="s">
        <v>68</v>
      </c>
      <c r="E20" s="168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0</v>
      </c>
      <c r="T20" s="129">
        <f>IF(H20="x",$S20*Percentages!C$18, 0)</f>
        <v>0</v>
      </c>
      <c r="U20" s="130">
        <f>IF(I20="x",$S20*Percentages!D$18, 0)</f>
        <v>0</v>
      </c>
      <c r="V20" s="130">
        <f>IF(J20="x",$S20*Percentages!E$18, 0)</f>
        <v>0</v>
      </c>
      <c r="W20" s="130">
        <f>IF(K20="x",$S20*Percentages!F$18, 0)</f>
        <v>0</v>
      </c>
      <c r="X20" s="130">
        <f>IF(L20="x",$S20*Percentages!G$18, 0)</f>
        <v>0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190</v>
      </c>
      <c r="T21" s="138">
        <f>IF(H21="x",$S21*Percentages!C$18, 0)</f>
        <v>7.22</v>
      </c>
      <c r="U21" s="139">
        <f>IF(I21="x",$S21*Percentages!D$18, 0)</f>
        <v>11.97</v>
      </c>
      <c r="V21" s="139">
        <f>IF(J21="x",$S21*Percentages!E$18, 0)</f>
        <v>32.11</v>
      </c>
      <c r="W21" s="139">
        <f>IF(K21="x",$S21*Percentages!F$18, 0)</f>
        <v>69.73</v>
      </c>
      <c r="X21" s="139">
        <f>IF(L21="x",$S21*Percentages!G$18, 0)</f>
        <v>69.73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0</v>
      </c>
      <c r="T22" s="129">
        <f>IF(H22="x",$S22*Percentages!C$18, 0)</f>
        <v>0</v>
      </c>
      <c r="U22" s="130">
        <f>IF(I22="x",$S22*Percentages!D$18, 0)</f>
        <v>0</v>
      </c>
      <c r="V22" s="130">
        <f>IF(J22="x",$S22*Percentages!E$18, 0)</f>
        <v>0</v>
      </c>
      <c r="W22" s="130">
        <f>IF(K22="x",$S22*Percentages!F$18, 0)</f>
        <v>0</v>
      </c>
      <c r="X22" s="130">
        <f>IF(L22="x",$S22*Percentages!G$18, 0)</f>
        <v>0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190</v>
      </c>
      <c r="T23" s="138">
        <f>IF(H23="x",$S23*Percentages!C$18, 0)</f>
        <v>7.22</v>
      </c>
      <c r="U23" s="139">
        <f>IF(I23="x",$S23*Percentages!D$18, 0)</f>
        <v>11.97</v>
      </c>
      <c r="V23" s="139">
        <f>IF(J23="x",$S23*Percentages!E$18, 0)</f>
        <v>32.11</v>
      </c>
      <c r="W23" s="139">
        <f>IF(K23="x",$S23*Percentages!F$18, 0)</f>
        <v>69.73</v>
      </c>
      <c r="X23" s="139">
        <f>IF(L23="x",$S23*Percentages!G$18, 0)</f>
        <v>69.73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79">
        <v>43850</v>
      </c>
      <c r="C24" s="180">
        <v>0.375</v>
      </c>
      <c r="D24" s="178" t="s">
        <v>68</v>
      </c>
      <c r="E24" s="178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0</v>
      </c>
      <c r="T24" s="129">
        <f>IF(H24="x",$S24*Percentages!C$18, 0)</f>
        <v>0</v>
      </c>
      <c r="U24" s="130">
        <f>IF(I24="x",$S24*Percentages!D$18, 0)</f>
        <v>0</v>
      </c>
      <c r="V24" s="130">
        <f>IF(J24="x",$S24*Percentages!E$18, 0)</f>
        <v>0</v>
      </c>
      <c r="W24" s="130">
        <f>IF(K24="x",$S24*Percentages!F$18, 0)</f>
        <v>0</v>
      </c>
      <c r="X24" s="130">
        <f>IF(L24="x",$S24*Percentages!G$18, 0)</f>
        <v>0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66">
        <v>43867</v>
      </c>
      <c r="C25" s="167">
        <v>0.6875</v>
      </c>
      <c r="D25" s="168" t="s">
        <v>68</v>
      </c>
      <c r="E25" s="168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190</v>
      </c>
      <c r="T25" s="138">
        <f>IF(H25="x",$S25*Percentages!C$18, 0)</f>
        <v>7.22</v>
      </c>
      <c r="U25" s="139">
        <f>IF(I25="x",$S25*Percentages!D$18, 0)</f>
        <v>11.97</v>
      </c>
      <c r="V25" s="139">
        <f>IF(J25="x",$S25*Percentages!E$18, 0)</f>
        <v>32.11</v>
      </c>
      <c r="W25" s="139">
        <f>IF(K25="x",$S25*Percentages!F$18, 0)</f>
        <v>69.73</v>
      </c>
      <c r="X25" s="139">
        <f>IF(L25="x",$S25*Percentages!G$18, 0)</f>
        <v>69.73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0</v>
      </c>
      <c r="T26" s="129">
        <f>IF(H26="x",$S26*Percentages!C$18, 0)</f>
        <v>0</v>
      </c>
      <c r="U26" s="130">
        <f>IF(I26="x",$S26*Percentages!D$18, 0)</f>
        <v>0</v>
      </c>
      <c r="V26" s="130">
        <f>IF(J26="x",$S26*Percentages!E$18, 0)</f>
        <v>0</v>
      </c>
      <c r="W26" s="130">
        <f>IF(K26="x",$S26*Percentages!F$18, 0)</f>
        <v>0</v>
      </c>
      <c r="X26" s="130">
        <f>IF(L26="x",$S26*Percentages!G$18, 0)</f>
        <v>0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190</v>
      </c>
      <c r="T27" s="138">
        <f>IF(H27="x",$S27*Percentages!C$18, 0)</f>
        <v>7.22</v>
      </c>
      <c r="U27" s="139">
        <f>IF(I27="x",$S27*Percentages!D$18, 0)</f>
        <v>11.97</v>
      </c>
      <c r="V27" s="139">
        <f>IF(J27="x",$S27*Percentages!E$18, 0)</f>
        <v>32.11</v>
      </c>
      <c r="W27" s="139">
        <f>IF(K27="x",$S27*Percentages!F$18, 0)</f>
        <v>69.73</v>
      </c>
      <c r="X27" s="139">
        <f>IF(L27="x",$S27*Percentages!G$18, 0)</f>
        <v>69.73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66">
        <v>43874</v>
      </c>
      <c r="C28" s="167">
        <v>0.6875</v>
      </c>
      <c r="D28" s="168" t="s">
        <v>68</v>
      </c>
      <c r="E28" s="168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190</v>
      </c>
      <c r="T28" s="138">
        <f>IF(H28="x",$S28*Percentages!C$18, 0)</f>
        <v>7.22</v>
      </c>
      <c r="U28" s="139">
        <f>IF(I28="x",$S28*Percentages!D$18, 0)</f>
        <v>11.97</v>
      </c>
      <c r="V28" s="139">
        <f>IF(J28="x",$S28*Percentages!E$18, 0)</f>
        <v>32.11</v>
      </c>
      <c r="W28" s="139">
        <f>IF(K28="x",$S28*Percentages!F$18, 0)</f>
        <v>69.73</v>
      </c>
      <c r="X28" s="139">
        <f>IF(L28="x",$S28*Percentages!G$18, 0)</f>
        <v>69.73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0</v>
      </c>
      <c r="T29" s="129">
        <f>IF(H29="x",$S29*Percentages!C$18, 0)</f>
        <v>0</v>
      </c>
      <c r="U29" s="130">
        <f>IF(I29="x",$S29*Percentages!D$18, 0)</f>
        <v>0</v>
      </c>
      <c r="V29" s="130">
        <f>IF(J29="x",$S29*Percentages!E$18, 0)</f>
        <v>0</v>
      </c>
      <c r="W29" s="130">
        <f>IF(K29="x",$S29*Percentages!F$18, 0)</f>
        <v>0</v>
      </c>
      <c r="X29" s="130">
        <f>IF(L29="x",$S29*Percentages!G$18, 0)</f>
        <v>0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66">
        <v>43880</v>
      </c>
      <c r="C30" s="167">
        <v>0.69444444444444453</v>
      </c>
      <c r="D30" s="168" t="s">
        <v>68</v>
      </c>
      <c r="E30" s="168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190</v>
      </c>
      <c r="T30" s="138">
        <f>IF(H30="x",$S30*Percentages!C$18, 0)</f>
        <v>7.22</v>
      </c>
      <c r="U30" s="139">
        <f>IF(I30="x",$S30*Percentages!D$18, 0)</f>
        <v>11.97</v>
      </c>
      <c r="V30" s="139">
        <f>IF(J30="x",$S30*Percentages!E$18, 0)</f>
        <v>32.11</v>
      </c>
      <c r="W30" s="139">
        <f>IF(K30="x",$S30*Percentages!F$18, 0)</f>
        <v>69.73</v>
      </c>
      <c r="X30" s="139">
        <f>IF(L30="x",$S30*Percentages!G$18, 0)</f>
        <v>69.73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0</v>
      </c>
      <c r="T31" s="129">
        <f>IF(H31="x",$S31*Percentages!C$18, 0)</f>
        <v>0</v>
      </c>
      <c r="U31" s="130">
        <f>IF(I31="x",$S31*Percentages!D$18, 0)</f>
        <v>0</v>
      </c>
      <c r="V31" s="130">
        <f>IF(J31="x",$S31*Percentages!E$18, 0)</f>
        <v>0</v>
      </c>
      <c r="W31" s="130">
        <f>IF(K31="x",$S31*Percentages!F$18, 0)</f>
        <v>0</v>
      </c>
      <c r="X31" s="130">
        <f>IF(L31="x",$S31*Percentages!G$18, 0)</f>
        <v>0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66">
        <v>43881</v>
      </c>
      <c r="C32" s="167">
        <v>0.27083333333333331</v>
      </c>
      <c r="D32" s="168" t="s">
        <v>68</v>
      </c>
      <c r="E32" s="168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0</v>
      </c>
      <c r="T32" s="129">
        <f>IF(H32="x",$S32*Percentages!C$18, 0)</f>
        <v>0</v>
      </c>
      <c r="U32" s="130">
        <f>IF(I32="x",$S32*Percentages!D$18, 0)</f>
        <v>0</v>
      </c>
      <c r="V32" s="130">
        <f>IF(J32="x",$S32*Percentages!E$18, 0)</f>
        <v>0</v>
      </c>
      <c r="W32" s="130">
        <f>IF(K32="x",$S32*Percentages!F$18, 0)</f>
        <v>0</v>
      </c>
      <c r="X32" s="130">
        <f>IF(L32="x",$S32*Percentages!G$18, 0)</f>
        <v>0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97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0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0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2090</v>
      </c>
      <c r="T36" s="35">
        <f t="shared" si="0"/>
        <v>79</v>
      </c>
      <c r="U36" s="36">
        <f t="shared" si="0"/>
        <v>132</v>
      </c>
      <c r="V36" s="36">
        <f t="shared" si="0"/>
        <v>353</v>
      </c>
      <c r="W36" s="36">
        <f t="shared" si="0"/>
        <v>767</v>
      </c>
      <c r="X36" s="36">
        <f t="shared" si="0"/>
        <v>767</v>
      </c>
      <c r="Y36" s="36">
        <f t="shared" si="0"/>
        <v>0</v>
      </c>
      <c r="Z36" s="38">
        <f t="shared" si="0"/>
        <v>0</v>
      </c>
    </row>
    <row r="37" spans="1:26" x14ac:dyDescent="0.25">
      <c r="E37" s="191" t="s">
        <v>73</v>
      </c>
      <c r="F37" s="20">
        <v>190</v>
      </c>
    </row>
    <row r="38" spans="1:26" x14ac:dyDescent="0.25">
      <c r="E38" s="190" t="s">
        <v>110</v>
      </c>
      <c r="F38" s="20">
        <v>0</v>
      </c>
    </row>
  </sheetData>
  <mergeCells count="4">
    <mergeCell ref="H3:N3"/>
    <mergeCell ref="O3:R3"/>
    <mergeCell ref="S3:Z3"/>
    <mergeCell ref="B2:G2"/>
  </mergeCells>
  <pageMargins left="0.5" right="0.4" top="0.5" bottom="0.25" header="0" footer="0"/>
  <pageSetup scale="7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x14ac:dyDescent="0.25">
      <c r="B2" s="204" t="s">
        <v>81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52">
        <v>1</v>
      </c>
      <c r="I4" s="53">
        <v>2</v>
      </c>
      <c r="J4" s="53">
        <v>3</v>
      </c>
      <c r="K4" s="53">
        <v>4</v>
      </c>
      <c r="L4" s="53">
        <v>5</v>
      </c>
      <c r="M4" s="53">
        <v>6</v>
      </c>
      <c r="N4" s="54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03" t="s">
        <v>63</v>
      </c>
      <c r="E5" s="104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09" t="s">
        <v>63</v>
      </c>
      <c r="E6" s="110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187</v>
      </c>
      <c r="T7" s="129">
        <f>IF(H7="x",$S7*Percentages!C$18, 0)</f>
        <v>7.1059999999999999</v>
      </c>
      <c r="U7" s="130">
        <f>IF(I7="x",$S7*Percentages!D$18, 0)</f>
        <v>11.781000000000001</v>
      </c>
      <c r="V7" s="130">
        <f>IF(J7="x",$S7*Percentages!E$18, 0)</f>
        <v>31.603000000000002</v>
      </c>
      <c r="W7" s="130">
        <f>IF(K7="x",$S7*Percentages!F$18, 0)</f>
        <v>68.629000000000005</v>
      </c>
      <c r="X7" s="130">
        <f>IF(L7="x",$S7*Percentages!G$18, 0)</f>
        <v>68.629000000000005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07">
        <v>43802</v>
      </c>
      <c r="C8" s="108">
        <v>0.66666666666666663</v>
      </c>
      <c r="D8" s="121" t="s">
        <v>68</v>
      </c>
      <c r="E8" s="121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187</v>
      </c>
      <c r="T8" s="138">
        <f>IF(H8="x",$S8*Percentages!C$18, 0)</f>
        <v>7.1059999999999999</v>
      </c>
      <c r="U8" s="139">
        <f>IF(I8="x",$S8*Percentages!D$18, 0)</f>
        <v>11.781000000000001</v>
      </c>
      <c r="V8" s="139">
        <f>IF(J8="x",$S8*Percentages!E$18, 0)</f>
        <v>31.603000000000002</v>
      </c>
      <c r="W8" s="139">
        <f>IF(K8="x",$S8*Percentages!F$18, 0)</f>
        <v>68.629000000000005</v>
      </c>
      <c r="X8" s="139">
        <f>IF(L8="x",$S8*Percentages!G$18, 0)</f>
        <v>68.629000000000005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187</v>
      </c>
      <c r="T9" s="129">
        <f>IF(H9="x",$S9*Percentages!C$18, 0)</f>
        <v>7.1059999999999999</v>
      </c>
      <c r="U9" s="130">
        <f>IF(I9="x",$S9*Percentages!D$18, 0)</f>
        <v>11.781000000000001</v>
      </c>
      <c r="V9" s="130">
        <f>IF(J9="x",$S9*Percentages!E$18, 0)</f>
        <v>31.603000000000002</v>
      </c>
      <c r="W9" s="130">
        <f>IF(K9="x",$S9*Percentages!F$18, 0)</f>
        <v>68.629000000000005</v>
      </c>
      <c r="X9" s="130">
        <f>IF(L9="x",$S9*Percentages!G$18, 0)</f>
        <v>68.629000000000005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07">
        <v>43805</v>
      </c>
      <c r="C10" s="108">
        <v>0.375</v>
      </c>
      <c r="D10" s="121" t="s">
        <v>68</v>
      </c>
      <c r="E10" s="12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187</v>
      </c>
      <c r="T10" s="129">
        <f>IF(H10="x",$S10*Percentages!C$18, 0)</f>
        <v>7.1059999999999999</v>
      </c>
      <c r="U10" s="130">
        <f>IF(I10="x",$S10*Percentages!D$18, 0)</f>
        <v>11.781000000000001</v>
      </c>
      <c r="V10" s="130">
        <f>IF(J10="x",$S10*Percentages!E$18, 0)</f>
        <v>31.603000000000002</v>
      </c>
      <c r="W10" s="130">
        <f>IF(K10="x",$S10*Percentages!F$18, 0)</f>
        <v>68.629000000000005</v>
      </c>
      <c r="X10" s="130">
        <f>IF(L10="x",$S10*Percentages!G$18, 0)</f>
        <v>68.629000000000005</v>
      </c>
      <c r="Y10" s="130">
        <f>IF(M10="x",$S10*Percentages!H$17, 0)</f>
        <v>0</v>
      </c>
      <c r="Z10" s="131">
        <f>IF(N10="x",$S10*Percentages!I$17, 0)</f>
        <v>0</v>
      </c>
    </row>
    <row r="11" spans="2:26" s="28" customFormat="1" x14ac:dyDescent="0.25">
      <c r="B11" s="107">
        <v>43816</v>
      </c>
      <c r="C11" s="108">
        <v>0.58333333333333337</v>
      </c>
      <c r="D11" s="121" t="s">
        <v>68</v>
      </c>
      <c r="E11" s="12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43"/>
      <c r="S11" s="118">
        <f>$F$37</f>
        <v>187</v>
      </c>
      <c r="T11" s="138">
        <f>IF(H11="x",$S11*Percentages!C$18, 0)</f>
        <v>7.1059999999999999</v>
      </c>
      <c r="U11" s="139">
        <f>IF(I11="x",$S11*Percentages!D$18, 0)</f>
        <v>11.781000000000001</v>
      </c>
      <c r="V11" s="139">
        <f>IF(J11="x",$S11*Percentages!E$18, 0)</f>
        <v>31.603000000000002</v>
      </c>
      <c r="W11" s="139">
        <f>IF(K11="x",$S11*Percentages!F$18, 0)</f>
        <v>68.629000000000005</v>
      </c>
      <c r="X11" s="139">
        <f>IF(L11="x",$S11*Percentages!G$18, 0)</f>
        <v>68.629000000000005</v>
      </c>
      <c r="Y11" s="139">
        <f>IF(M11="x",$S11*Percentages!H$17, 0)</f>
        <v>0</v>
      </c>
      <c r="Z11" s="140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187</v>
      </c>
      <c r="T12" s="129">
        <f>IF(H12="x",$S12*Percentages!C$18, 0)</f>
        <v>7.1059999999999999</v>
      </c>
      <c r="U12" s="130">
        <f>IF(I12="x",$S12*Percentages!D$18, 0)</f>
        <v>11.781000000000001</v>
      </c>
      <c r="V12" s="130">
        <f>IF(J12="x",$S12*Percentages!E$18, 0)</f>
        <v>31.603000000000002</v>
      </c>
      <c r="W12" s="130">
        <f>IF(K12="x",$S12*Percentages!F$18, 0)</f>
        <v>68.629000000000005</v>
      </c>
      <c r="X12" s="130">
        <f>IF(L12="x",$S12*Percentages!G$18, 0)</f>
        <v>68.629000000000005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187</v>
      </c>
      <c r="T13" s="138">
        <f>IF(H13="x",$S13*Percentages!C$18, 0)</f>
        <v>7.1059999999999999</v>
      </c>
      <c r="U13" s="139">
        <f>IF(I13="x",$S13*Percentages!D$18, 0)</f>
        <v>11.781000000000001</v>
      </c>
      <c r="V13" s="139">
        <f>IF(J13="x",$S13*Percentages!E$18, 0)</f>
        <v>31.603000000000002</v>
      </c>
      <c r="W13" s="139">
        <f>IF(K13="x",$S13*Percentages!F$18, 0)</f>
        <v>68.629000000000005</v>
      </c>
      <c r="X13" s="139">
        <f>IF(L13="x",$S13*Percentages!G$18, 0)</f>
        <v>68.629000000000005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07">
        <v>43830</v>
      </c>
      <c r="C14" s="108">
        <v>0.6875</v>
      </c>
      <c r="D14" s="121" t="s">
        <v>68</v>
      </c>
      <c r="E14" s="121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187</v>
      </c>
      <c r="T14" s="138">
        <f>IF(H14="x",$S14*Percentages!C$18, 0)</f>
        <v>7.1059999999999999</v>
      </c>
      <c r="U14" s="139">
        <f>IF(I14="x",$S14*Percentages!D$18, 0)</f>
        <v>11.781000000000001</v>
      </c>
      <c r="V14" s="139">
        <f>IF(J14="x",$S14*Percentages!E$18, 0)</f>
        <v>31.603000000000002</v>
      </c>
      <c r="W14" s="139">
        <f>IF(K14="x",$S14*Percentages!F$18, 0)</f>
        <v>68.629000000000005</v>
      </c>
      <c r="X14" s="139">
        <f>IF(L14="x",$S14*Percentages!G$18, 0)</f>
        <v>68.629000000000005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187</v>
      </c>
      <c r="T15" s="129">
        <f>IF(H15="x",$S15*Percentages!C$18, 0)</f>
        <v>7.1059999999999999</v>
      </c>
      <c r="U15" s="130">
        <f>IF(I15="x",$S15*Percentages!D$18, 0)</f>
        <v>11.781000000000001</v>
      </c>
      <c r="V15" s="130">
        <f>IF(J15="x",$S15*Percentages!E$18, 0)</f>
        <v>31.603000000000002</v>
      </c>
      <c r="W15" s="130">
        <f>IF(K15="x",$S15*Percentages!F$18, 0)</f>
        <v>68.629000000000005</v>
      </c>
      <c r="X15" s="130">
        <f>IF(L15="x",$S15*Percentages!G$18, 0)</f>
        <v>68.629000000000005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07">
        <v>43834</v>
      </c>
      <c r="C16" s="108">
        <v>0.625</v>
      </c>
      <c r="D16" s="121" t="s">
        <v>68</v>
      </c>
      <c r="E16" s="122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187</v>
      </c>
      <c r="T16" s="129">
        <f>IF(H16="x",$S16*Percentages!C$18, 0)</f>
        <v>7.1059999999999999</v>
      </c>
      <c r="U16" s="130">
        <f>IF(I16="x",$S16*Percentages!D$18, 0)</f>
        <v>11.781000000000001</v>
      </c>
      <c r="V16" s="130">
        <f>IF(J16="x",$S16*Percentages!E$18, 0)</f>
        <v>31.603000000000002</v>
      </c>
      <c r="W16" s="130">
        <f>IF(K16="x",$S16*Percentages!F$18, 0)</f>
        <v>68.629000000000005</v>
      </c>
      <c r="X16" s="130">
        <f>IF(L16="x",$S16*Percentages!G$18, 0)</f>
        <v>68.629000000000005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07">
        <v>43837</v>
      </c>
      <c r="C17" s="108">
        <v>0.91666666666666663</v>
      </c>
      <c r="D17" s="121" t="s">
        <v>68</v>
      </c>
      <c r="E17" s="122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187</v>
      </c>
      <c r="T17" s="129">
        <f>IF(H17="x",$S17*Percentages!C$18, 0)</f>
        <v>7.1059999999999999</v>
      </c>
      <c r="U17" s="130">
        <f>IF(I17="x",$S17*Percentages!D$18, 0)</f>
        <v>11.781000000000001</v>
      </c>
      <c r="V17" s="130">
        <f>IF(J17="x",$S17*Percentages!E$18, 0)</f>
        <v>31.603000000000002</v>
      </c>
      <c r="W17" s="130">
        <f>IF(K17="x",$S17*Percentages!F$18, 0)</f>
        <v>68.629000000000005</v>
      </c>
      <c r="X17" s="130">
        <f>IF(L17="x",$S17*Percentages!G$18, 0)</f>
        <v>68.629000000000005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07">
        <v>43839</v>
      </c>
      <c r="C18" s="108">
        <v>0.66666666666666663</v>
      </c>
      <c r="D18" s="121" t="s">
        <v>68</v>
      </c>
      <c r="E18" s="122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187</v>
      </c>
      <c r="T18" s="129">
        <f>IF(H18="x",$S18*Percentages!C$18, 0)</f>
        <v>7.1059999999999999</v>
      </c>
      <c r="U18" s="130">
        <f>IF(I18="x",$S18*Percentages!D$18, 0)</f>
        <v>11.781000000000001</v>
      </c>
      <c r="V18" s="130">
        <f>IF(J18="x",$S18*Percentages!E$18, 0)</f>
        <v>31.603000000000002</v>
      </c>
      <c r="W18" s="130">
        <f>IF(K18="x",$S18*Percentages!F$18, 0)</f>
        <v>68.629000000000005</v>
      </c>
      <c r="X18" s="130">
        <f>IF(L18="x",$S18*Percentages!G$18, 0)</f>
        <v>68.629000000000005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07">
        <v>43844</v>
      </c>
      <c r="C19" s="108">
        <v>0.60416666666666663</v>
      </c>
      <c r="D19" s="121" t="s">
        <v>68</v>
      </c>
      <c r="E19" s="12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187</v>
      </c>
      <c r="T19" s="138">
        <f>IF(H19="x",$S19*Percentages!C$18, 0)</f>
        <v>7.1059999999999999</v>
      </c>
      <c r="U19" s="139">
        <f>IF(I19="x",$S19*Percentages!D$18, 0)</f>
        <v>11.781000000000001</v>
      </c>
      <c r="V19" s="139">
        <f>IF(J19="x",$S19*Percentages!E$18, 0)</f>
        <v>31.603000000000002</v>
      </c>
      <c r="W19" s="139">
        <f>IF(K19="x",$S19*Percentages!F$18, 0)</f>
        <v>68.629000000000005</v>
      </c>
      <c r="X19" s="139">
        <f>IF(L19="x",$S19*Percentages!G$18, 0)</f>
        <v>68.629000000000005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07">
        <v>43846</v>
      </c>
      <c r="C20" s="108">
        <v>0.625</v>
      </c>
      <c r="D20" s="121" t="s">
        <v>68</v>
      </c>
      <c r="E20" s="122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187</v>
      </c>
      <c r="T20" s="129">
        <f>IF(H20="x",$S20*Percentages!C$18, 0)</f>
        <v>7.1059999999999999</v>
      </c>
      <c r="U20" s="130">
        <f>IF(I20="x",$S20*Percentages!D$18, 0)</f>
        <v>11.781000000000001</v>
      </c>
      <c r="V20" s="130">
        <f>IF(J20="x",$S20*Percentages!E$18, 0)</f>
        <v>31.603000000000002</v>
      </c>
      <c r="W20" s="130">
        <f>IF(K20="x",$S20*Percentages!F$18, 0)</f>
        <v>68.629000000000005</v>
      </c>
      <c r="X20" s="130">
        <f>IF(L20="x",$S20*Percentages!G$18, 0)</f>
        <v>68.629000000000005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187</v>
      </c>
      <c r="T21" s="138">
        <f>IF(H21="x",$S21*Percentages!C$18, 0)</f>
        <v>7.1059999999999999</v>
      </c>
      <c r="U21" s="139">
        <f>IF(I21="x",$S21*Percentages!D$18, 0)</f>
        <v>11.781000000000001</v>
      </c>
      <c r="V21" s="139">
        <f>IF(J21="x",$S21*Percentages!E$18, 0)</f>
        <v>31.603000000000002</v>
      </c>
      <c r="W21" s="139">
        <f>IF(K21="x",$S21*Percentages!F$18, 0)</f>
        <v>68.629000000000005</v>
      </c>
      <c r="X21" s="139">
        <f>IF(L21="x",$S21*Percentages!G$18, 0)</f>
        <v>68.629000000000005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187</v>
      </c>
      <c r="T22" s="129">
        <f>IF(H22="x",$S22*Percentages!C$18, 0)</f>
        <v>7.1059999999999999</v>
      </c>
      <c r="U22" s="130">
        <f>IF(I22="x",$S22*Percentages!D$18, 0)</f>
        <v>11.781000000000001</v>
      </c>
      <c r="V22" s="130">
        <f>IF(J22="x",$S22*Percentages!E$18, 0)</f>
        <v>31.603000000000002</v>
      </c>
      <c r="W22" s="130">
        <f>IF(K22="x",$S22*Percentages!F$18, 0)</f>
        <v>68.629000000000005</v>
      </c>
      <c r="X22" s="130">
        <f>IF(L22="x",$S22*Percentages!G$18, 0)</f>
        <v>68.629000000000005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187</v>
      </c>
      <c r="T23" s="138">
        <f>IF(H23="x",$S23*Percentages!C$18, 0)</f>
        <v>7.1059999999999999</v>
      </c>
      <c r="U23" s="139">
        <f>IF(I23="x",$S23*Percentages!D$18, 0)</f>
        <v>11.781000000000001</v>
      </c>
      <c r="V23" s="139">
        <f>IF(J23="x",$S23*Percentages!E$18, 0)</f>
        <v>31.603000000000002</v>
      </c>
      <c r="W23" s="139">
        <f>IF(K23="x",$S23*Percentages!F$18, 0)</f>
        <v>68.629000000000005</v>
      </c>
      <c r="X23" s="139">
        <f>IF(L23="x",$S23*Percentages!G$18, 0)</f>
        <v>68.629000000000005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07">
        <v>43850</v>
      </c>
      <c r="C24" s="108">
        <v>0.375</v>
      </c>
      <c r="D24" s="121" t="s">
        <v>68</v>
      </c>
      <c r="E24" s="122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187</v>
      </c>
      <c r="T24" s="129">
        <f>IF(H24="x",$S24*Percentages!C$18, 0)</f>
        <v>7.1059999999999999</v>
      </c>
      <c r="U24" s="130">
        <f>IF(I24="x",$S24*Percentages!D$18, 0)</f>
        <v>11.781000000000001</v>
      </c>
      <c r="V24" s="130">
        <f>IF(J24="x",$S24*Percentages!E$18, 0)</f>
        <v>31.603000000000002</v>
      </c>
      <c r="W24" s="130">
        <f>IF(K24="x",$S24*Percentages!F$18, 0)</f>
        <v>68.629000000000005</v>
      </c>
      <c r="X24" s="130">
        <f>IF(L24="x",$S24*Percentages!G$18, 0)</f>
        <v>68.629000000000005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07">
        <v>43867</v>
      </c>
      <c r="C25" s="108">
        <v>0.6875</v>
      </c>
      <c r="D25" s="121" t="s">
        <v>68</v>
      </c>
      <c r="E25" s="121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187</v>
      </c>
      <c r="T25" s="138">
        <f>IF(H25="x",$S25*Percentages!C$18, 0)</f>
        <v>7.1059999999999999</v>
      </c>
      <c r="U25" s="139">
        <f>IF(I25="x",$S25*Percentages!D$18, 0)</f>
        <v>11.781000000000001</v>
      </c>
      <c r="V25" s="139">
        <f>IF(J25="x",$S25*Percentages!E$18, 0)</f>
        <v>31.603000000000002</v>
      </c>
      <c r="W25" s="139">
        <f>IF(K25="x",$S25*Percentages!F$18, 0)</f>
        <v>68.629000000000005</v>
      </c>
      <c r="X25" s="139">
        <f>IF(L25="x",$S25*Percentages!G$18, 0)</f>
        <v>68.629000000000005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187</v>
      </c>
      <c r="T26" s="129">
        <f>IF(H26="x",$S26*Percentages!C$18, 0)</f>
        <v>7.1059999999999999</v>
      </c>
      <c r="U26" s="130">
        <f>IF(I26="x",$S26*Percentages!D$18, 0)</f>
        <v>11.781000000000001</v>
      </c>
      <c r="V26" s="130">
        <f>IF(J26="x",$S26*Percentages!E$18, 0)</f>
        <v>31.603000000000002</v>
      </c>
      <c r="W26" s="130">
        <f>IF(K26="x",$S26*Percentages!F$18, 0)</f>
        <v>68.629000000000005</v>
      </c>
      <c r="X26" s="130">
        <f>IF(L26="x",$S26*Percentages!G$18, 0)</f>
        <v>68.629000000000005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187</v>
      </c>
      <c r="T27" s="138">
        <f>IF(H27="x",$S27*Percentages!C$18, 0)</f>
        <v>7.1059999999999999</v>
      </c>
      <c r="U27" s="139">
        <f>IF(I27="x",$S27*Percentages!D$18, 0)</f>
        <v>11.781000000000001</v>
      </c>
      <c r="V27" s="139">
        <f>IF(J27="x",$S27*Percentages!E$18, 0)</f>
        <v>31.603000000000002</v>
      </c>
      <c r="W27" s="139">
        <f>IF(K27="x",$S27*Percentages!F$18, 0)</f>
        <v>68.629000000000005</v>
      </c>
      <c r="X27" s="139">
        <f>IF(L27="x",$S27*Percentages!G$18, 0)</f>
        <v>68.629000000000005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07">
        <v>43874</v>
      </c>
      <c r="C28" s="108">
        <v>0.6875</v>
      </c>
      <c r="D28" s="121" t="s">
        <v>68</v>
      </c>
      <c r="E28" s="121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187</v>
      </c>
      <c r="T28" s="138">
        <f>IF(H28="x",$S28*Percentages!C$18, 0)</f>
        <v>7.1059999999999999</v>
      </c>
      <c r="U28" s="139">
        <f>IF(I28="x",$S28*Percentages!D$18, 0)</f>
        <v>11.781000000000001</v>
      </c>
      <c r="V28" s="139">
        <f>IF(J28="x",$S28*Percentages!E$18, 0)</f>
        <v>31.603000000000002</v>
      </c>
      <c r="W28" s="139">
        <f>IF(K28="x",$S28*Percentages!F$18, 0)</f>
        <v>68.629000000000005</v>
      </c>
      <c r="X28" s="139">
        <f>IF(L28="x",$S28*Percentages!G$18, 0)</f>
        <v>68.629000000000005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187</v>
      </c>
      <c r="T29" s="129">
        <f>IF(H29="x",$S29*Percentages!C$18, 0)</f>
        <v>7.1059999999999999</v>
      </c>
      <c r="U29" s="130">
        <f>IF(I29="x",$S29*Percentages!D$18, 0)</f>
        <v>11.781000000000001</v>
      </c>
      <c r="V29" s="130">
        <f>IF(J29="x",$S29*Percentages!E$18, 0)</f>
        <v>31.603000000000002</v>
      </c>
      <c r="W29" s="130">
        <f>IF(K29="x",$S29*Percentages!F$18, 0)</f>
        <v>68.629000000000005</v>
      </c>
      <c r="X29" s="130">
        <f>IF(L29="x",$S29*Percentages!G$18, 0)</f>
        <v>68.629000000000005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07">
        <v>43880</v>
      </c>
      <c r="C30" s="108">
        <v>0.69444444444444453</v>
      </c>
      <c r="D30" s="121" t="s">
        <v>68</v>
      </c>
      <c r="E30" s="121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187</v>
      </c>
      <c r="T30" s="138">
        <f>IF(H30="x",$S30*Percentages!C$18, 0)</f>
        <v>7.1059999999999999</v>
      </c>
      <c r="U30" s="139">
        <f>IF(I30="x",$S30*Percentages!D$18, 0)</f>
        <v>11.781000000000001</v>
      </c>
      <c r="V30" s="139">
        <f>IF(J30="x",$S30*Percentages!E$18, 0)</f>
        <v>31.603000000000002</v>
      </c>
      <c r="W30" s="139">
        <f>IF(K30="x",$S30*Percentages!F$18, 0)</f>
        <v>68.629000000000005</v>
      </c>
      <c r="X30" s="139">
        <f>IF(L30="x",$S30*Percentages!G$18, 0)</f>
        <v>68.629000000000005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187</v>
      </c>
      <c r="T31" s="129">
        <f>IF(H31="x",$S31*Percentages!C$18, 0)</f>
        <v>7.1059999999999999</v>
      </c>
      <c r="U31" s="130">
        <f>IF(I31="x",$S31*Percentages!D$18, 0)</f>
        <v>11.781000000000001</v>
      </c>
      <c r="V31" s="130">
        <f>IF(J31="x",$S31*Percentages!E$18, 0)</f>
        <v>31.603000000000002</v>
      </c>
      <c r="W31" s="130">
        <f>IF(K31="x",$S31*Percentages!F$18, 0)</f>
        <v>68.629000000000005</v>
      </c>
      <c r="X31" s="130">
        <f>IF(L31="x",$S31*Percentages!G$18, 0)</f>
        <v>68.629000000000005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07">
        <v>43881</v>
      </c>
      <c r="C32" s="108">
        <v>0.27083333333333331</v>
      </c>
      <c r="D32" s="121" t="s">
        <v>68</v>
      </c>
      <c r="E32" s="122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187</v>
      </c>
      <c r="T32" s="129">
        <f>IF(H32="x",$S32*Percentages!C$18, 0)</f>
        <v>7.1059999999999999</v>
      </c>
      <c r="U32" s="130">
        <f>IF(I32="x",$S32*Percentages!D$18, 0)</f>
        <v>11.781000000000001</v>
      </c>
      <c r="V32" s="130">
        <f>IF(J32="x",$S32*Percentages!E$18, 0)</f>
        <v>31.603000000000002</v>
      </c>
      <c r="W32" s="130">
        <f>IF(K32="x",$S32*Percentages!F$18, 0)</f>
        <v>68.629000000000005</v>
      </c>
      <c r="X32" s="130">
        <f>IF(L32="x",$S32*Percentages!G$18, 0)</f>
        <v>68.629000000000005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97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187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68.629000000000005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5049</v>
      </c>
      <c r="T36" s="35">
        <f t="shared" si="0"/>
        <v>185</v>
      </c>
      <c r="U36" s="36">
        <f t="shared" si="0"/>
        <v>306</v>
      </c>
      <c r="V36" s="36">
        <f t="shared" si="0"/>
        <v>822</v>
      </c>
      <c r="W36" s="36">
        <f t="shared" si="0"/>
        <v>1784</v>
      </c>
      <c r="X36" s="36">
        <f t="shared" si="0"/>
        <v>1853</v>
      </c>
      <c r="Y36" s="36">
        <f t="shared" si="0"/>
        <v>0</v>
      </c>
      <c r="Z36" s="38">
        <f t="shared" si="0"/>
        <v>0</v>
      </c>
    </row>
    <row r="37" spans="1:26" x14ac:dyDescent="0.25">
      <c r="E37" s="29" t="s">
        <v>73</v>
      </c>
      <c r="F37" s="20">
        <f>'Plow quotes'!M26</f>
        <v>187</v>
      </c>
    </row>
    <row r="38" spans="1:26" x14ac:dyDescent="0.25">
      <c r="E38" s="30" t="s">
        <v>74</v>
      </c>
      <c r="F38" s="20">
        <f>'Plow quotes'!M26</f>
        <v>187</v>
      </c>
    </row>
  </sheetData>
  <mergeCells count="4">
    <mergeCell ref="H3:N3"/>
    <mergeCell ref="O3:R3"/>
    <mergeCell ref="S3:Z3"/>
    <mergeCell ref="B2:G2"/>
  </mergeCells>
  <pageMargins left="0.5" right="0.2" top="0.5" bottom="0.25" header="0" footer="0"/>
  <pageSetup scale="6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x14ac:dyDescent="0.25">
      <c r="B2" s="204" t="s">
        <v>92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52">
        <v>1</v>
      </c>
      <c r="I4" s="53">
        <v>2</v>
      </c>
      <c r="J4" s="53">
        <v>3</v>
      </c>
      <c r="K4" s="53">
        <v>4</v>
      </c>
      <c r="L4" s="53">
        <v>5</v>
      </c>
      <c r="M4" s="53">
        <v>6</v>
      </c>
      <c r="N4" s="54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03" t="s">
        <v>63</v>
      </c>
      <c r="E5" s="104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09" t="s">
        <v>63</v>
      </c>
      <c r="E6" s="110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0</v>
      </c>
      <c r="T7" s="129">
        <f>IF(H7="x",$S7*Percentages!C$18, 0)</f>
        <v>0</v>
      </c>
      <c r="U7" s="130">
        <f>IF(I7="x",$S7*Percentages!D$18, 0)</f>
        <v>0</v>
      </c>
      <c r="V7" s="130">
        <f>IF(J7="x",$S7*Percentages!E$18, 0)</f>
        <v>0</v>
      </c>
      <c r="W7" s="130">
        <f>IF(K7="x",$S7*Percentages!F$18, 0)</f>
        <v>0</v>
      </c>
      <c r="X7" s="130">
        <f>IF(L7="x",$S7*Percentages!G$18, 0)</f>
        <v>0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07">
        <v>43802</v>
      </c>
      <c r="C8" s="108">
        <v>0.66666666666666663</v>
      </c>
      <c r="D8" s="121" t="s">
        <v>68</v>
      </c>
      <c r="E8" s="121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187</v>
      </c>
      <c r="T8" s="138">
        <f>IF(H8="x",$S8*Percentages!C$18, 0)</f>
        <v>7.1059999999999999</v>
      </c>
      <c r="U8" s="139">
        <f>IF(I8="x",$S8*Percentages!D$18, 0)</f>
        <v>11.781000000000001</v>
      </c>
      <c r="V8" s="139">
        <f>IF(J8="x",$S8*Percentages!E$18, 0)</f>
        <v>31.603000000000002</v>
      </c>
      <c r="W8" s="139">
        <f>IF(K8="x",$S8*Percentages!F$18, 0)</f>
        <v>68.629000000000005</v>
      </c>
      <c r="X8" s="139">
        <f>IF(L8="x",$S8*Percentages!G$18, 0)</f>
        <v>68.629000000000005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0</v>
      </c>
      <c r="T9" s="129">
        <f>IF(H9="x",$S9*Percentages!C$18, 0)</f>
        <v>0</v>
      </c>
      <c r="U9" s="130">
        <f>IF(I9="x",$S9*Percentages!D$18, 0)</f>
        <v>0</v>
      </c>
      <c r="V9" s="130">
        <f>IF(J9="x",$S9*Percentages!E$18, 0)</f>
        <v>0</v>
      </c>
      <c r="W9" s="130">
        <f>IF(K9="x",$S9*Percentages!F$18, 0)</f>
        <v>0</v>
      </c>
      <c r="X9" s="130">
        <f>IF(L9="x",$S9*Percentages!G$18, 0)</f>
        <v>0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07">
        <v>43805</v>
      </c>
      <c r="C10" s="108">
        <v>0.375</v>
      </c>
      <c r="D10" s="121" t="s">
        <v>68</v>
      </c>
      <c r="E10" s="12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0</v>
      </c>
      <c r="T10" s="129">
        <f>IF(H10="x",$S10*Percentages!C$18, 0)</f>
        <v>0</v>
      </c>
      <c r="U10" s="130">
        <f>IF(I10="x",$S10*Percentages!D$18, 0)</f>
        <v>0</v>
      </c>
      <c r="V10" s="130">
        <f>IF(J10="x",$S10*Percentages!E$18, 0)</f>
        <v>0</v>
      </c>
      <c r="W10" s="130">
        <f>IF(K10="x",$S10*Percentages!F$18, 0)</f>
        <v>0</v>
      </c>
      <c r="X10" s="130">
        <f>IF(L10="x",$S10*Percentages!G$18, 0)</f>
        <v>0</v>
      </c>
      <c r="Y10" s="130">
        <f>IF(M10="x",$S10*Percentages!H$17, 0)</f>
        <v>0</v>
      </c>
      <c r="Z10" s="131">
        <f>IF(N10="x",$S10*Percentages!I$17, 0)</f>
        <v>0</v>
      </c>
    </row>
    <row r="11" spans="2:26" s="28" customFormat="1" x14ac:dyDescent="0.25">
      <c r="B11" s="107">
        <v>43816</v>
      </c>
      <c r="C11" s="108">
        <v>0.58333333333333337</v>
      </c>
      <c r="D11" s="121" t="s">
        <v>68</v>
      </c>
      <c r="E11" s="12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43"/>
      <c r="S11" s="118">
        <f>$F$37</f>
        <v>187</v>
      </c>
      <c r="T11" s="138">
        <f>IF(H11="x",$S11*Percentages!C$18, 0)</f>
        <v>7.1059999999999999</v>
      </c>
      <c r="U11" s="139">
        <f>IF(I11="x",$S11*Percentages!D$18, 0)</f>
        <v>11.781000000000001</v>
      </c>
      <c r="V11" s="139">
        <f>IF(J11="x",$S11*Percentages!E$18, 0)</f>
        <v>31.603000000000002</v>
      </c>
      <c r="W11" s="139">
        <f>IF(K11="x",$S11*Percentages!F$18, 0)</f>
        <v>68.629000000000005</v>
      </c>
      <c r="X11" s="139">
        <f>IF(L11="x",$S11*Percentages!G$18, 0)</f>
        <v>68.629000000000005</v>
      </c>
      <c r="Y11" s="139">
        <f>IF(M11="x",$S11*Percentages!H$17, 0)</f>
        <v>0</v>
      </c>
      <c r="Z11" s="140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0</v>
      </c>
      <c r="T12" s="129">
        <f>IF(H12="x",$S12*Percentages!C$18, 0)</f>
        <v>0</v>
      </c>
      <c r="U12" s="130">
        <f>IF(I12="x",$S12*Percentages!D$18, 0)</f>
        <v>0</v>
      </c>
      <c r="V12" s="130">
        <f>IF(J12="x",$S12*Percentages!E$18, 0)</f>
        <v>0</v>
      </c>
      <c r="W12" s="130">
        <f>IF(K12="x",$S12*Percentages!F$18, 0)</f>
        <v>0</v>
      </c>
      <c r="X12" s="130">
        <f>IF(L12="x",$S12*Percentages!G$18, 0)</f>
        <v>0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187</v>
      </c>
      <c r="T13" s="138">
        <f>IF(H13="x",$S13*Percentages!C$18, 0)</f>
        <v>7.1059999999999999</v>
      </c>
      <c r="U13" s="139">
        <f>IF(I13="x",$S13*Percentages!D$18, 0)</f>
        <v>11.781000000000001</v>
      </c>
      <c r="V13" s="139">
        <f>IF(J13="x",$S13*Percentages!E$18, 0)</f>
        <v>31.603000000000002</v>
      </c>
      <c r="W13" s="139">
        <f>IF(K13="x",$S13*Percentages!F$18, 0)</f>
        <v>68.629000000000005</v>
      </c>
      <c r="X13" s="139">
        <f>IF(L13="x",$S13*Percentages!G$18, 0)</f>
        <v>68.629000000000005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07">
        <v>43830</v>
      </c>
      <c r="C14" s="108">
        <v>0.6875</v>
      </c>
      <c r="D14" s="121" t="s">
        <v>68</v>
      </c>
      <c r="E14" s="121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187</v>
      </c>
      <c r="T14" s="138">
        <f>IF(H14="x",$S14*Percentages!C$18, 0)</f>
        <v>7.1059999999999999</v>
      </c>
      <c r="U14" s="139">
        <f>IF(I14="x",$S14*Percentages!D$18, 0)</f>
        <v>11.781000000000001</v>
      </c>
      <c r="V14" s="139">
        <f>IF(J14="x",$S14*Percentages!E$18, 0)</f>
        <v>31.603000000000002</v>
      </c>
      <c r="W14" s="139">
        <f>IF(K14="x",$S14*Percentages!F$18, 0)</f>
        <v>68.629000000000005</v>
      </c>
      <c r="X14" s="139">
        <f>IF(L14="x",$S14*Percentages!G$18, 0)</f>
        <v>68.629000000000005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0</v>
      </c>
      <c r="T15" s="129">
        <f>IF(H15="x",$S15*Percentages!C$18, 0)</f>
        <v>0</v>
      </c>
      <c r="U15" s="130">
        <f>IF(I15="x",$S15*Percentages!D$18, 0)</f>
        <v>0</v>
      </c>
      <c r="V15" s="130">
        <f>IF(J15="x",$S15*Percentages!E$18, 0)</f>
        <v>0</v>
      </c>
      <c r="W15" s="130">
        <f>IF(K15="x",$S15*Percentages!F$18, 0)</f>
        <v>0</v>
      </c>
      <c r="X15" s="130">
        <f>IF(L15="x",$S15*Percentages!G$18, 0)</f>
        <v>0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07">
        <v>43834</v>
      </c>
      <c r="C16" s="108">
        <v>0.625</v>
      </c>
      <c r="D16" s="121" t="s">
        <v>68</v>
      </c>
      <c r="E16" s="122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0</v>
      </c>
      <c r="T16" s="129">
        <f>IF(H16="x",$S16*Percentages!C$18, 0)</f>
        <v>0</v>
      </c>
      <c r="U16" s="130">
        <f>IF(I16="x",$S16*Percentages!D$18, 0)</f>
        <v>0</v>
      </c>
      <c r="V16" s="130">
        <f>IF(J16="x",$S16*Percentages!E$18, 0)</f>
        <v>0</v>
      </c>
      <c r="W16" s="130">
        <f>IF(K16="x",$S16*Percentages!F$18, 0)</f>
        <v>0</v>
      </c>
      <c r="X16" s="130">
        <f>IF(L16="x",$S16*Percentages!G$18, 0)</f>
        <v>0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07">
        <v>43837</v>
      </c>
      <c r="C17" s="108">
        <v>0.91666666666666663</v>
      </c>
      <c r="D17" s="121" t="s">
        <v>68</v>
      </c>
      <c r="E17" s="122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0</v>
      </c>
      <c r="T17" s="129">
        <f>IF(H17="x",$S17*Percentages!C$18, 0)</f>
        <v>0</v>
      </c>
      <c r="U17" s="130">
        <f>IF(I17="x",$S17*Percentages!D$18, 0)</f>
        <v>0</v>
      </c>
      <c r="V17" s="130">
        <f>IF(J17="x",$S17*Percentages!E$18, 0)</f>
        <v>0</v>
      </c>
      <c r="W17" s="130">
        <f>IF(K17="x",$S17*Percentages!F$18, 0)</f>
        <v>0</v>
      </c>
      <c r="X17" s="130">
        <f>IF(L17="x",$S17*Percentages!G$18, 0)</f>
        <v>0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07">
        <v>43839</v>
      </c>
      <c r="C18" s="108">
        <v>0.66666666666666663</v>
      </c>
      <c r="D18" s="121" t="s">
        <v>68</v>
      </c>
      <c r="E18" s="122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0</v>
      </c>
      <c r="T18" s="129">
        <f>IF(H18="x",$S18*Percentages!C$18, 0)</f>
        <v>0</v>
      </c>
      <c r="U18" s="130">
        <f>IF(I18="x",$S18*Percentages!D$18, 0)</f>
        <v>0</v>
      </c>
      <c r="V18" s="130">
        <f>IF(J18="x",$S18*Percentages!E$18, 0)</f>
        <v>0</v>
      </c>
      <c r="W18" s="130">
        <f>IF(K18="x",$S18*Percentages!F$18, 0)</f>
        <v>0</v>
      </c>
      <c r="X18" s="130">
        <f>IF(L18="x",$S18*Percentages!G$18, 0)</f>
        <v>0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07">
        <v>43844</v>
      </c>
      <c r="C19" s="108">
        <v>0.60416666666666663</v>
      </c>
      <c r="D19" s="121" t="s">
        <v>68</v>
      </c>
      <c r="E19" s="12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187</v>
      </c>
      <c r="T19" s="138">
        <f>IF(H19="x",$S19*Percentages!C$18, 0)</f>
        <v>7.1059999999999999</v>
      </c>
      <c r="U19" s="139">
        <f>IF(I19="x",$S19*Percentages!D$18, 0)</f>
        <v>11.781000000000001</v>
      </c>
      <c r="V19" s="139">
        <f>IF(J19="x",$S19*Percentages!E$18, 0)</f>
        <v>31.603000000000002</v>
      </c>
      <c r="W19" s="139">
        <f>IF(K19="x",$S19*Percentages!F$18, 0)</f>
        <v>68.629000000000005</v>
      </c>
      <c r="X19" s="139">
        <f>IF(L19="x",$S19*Percentages!G$18, 0)</f>
        <v>68.629000000000005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07">
        <v>43846</v>
      </c>
      <c r="C20" s="108">
        <v>0.625</v>
      </c>
      <c r="D20" s="121" t="s">
        <v>68</v>
      </c>
      <c r="E20" s="122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0</v>
      </c>
      <c r="T20" s="129">
        <f>IF(H20="x",$S20*Percentages!C$18, 0)</f>
        <v>0</v>
      </c>
      <c r="U20" s="130">
        <f>IF(I20="x",$S20*Percentages!D$18, 0)</f>
        <v>0</v>
      </c>
      <c r="V20" s="130">
        <f>IF(J20="x",$S20*Percentages!E$18, 0)</f>
        <v>0</v>
      </c>
      <c r="W20" s="130">
        <f>IF(K20="x",$S20*Percentages!F$18, 0)</f>
        <v>0</v>
      </c>
      <c r="X20" s="130">
        <f>IF(L20="x",$S20*Percentages!G$18, 0)</f>
        <v>0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187</v>
      </c>
      <c r="T21" s="138">
        <f>IF(H21="x",$S21*Percentages!C$18, 0)</f>
        <v>7.1059999999999999</v>
      </c>
      <c r="U21" s="139">
        <f>IF(I21="x",$S21*Percentages!D$18, 0)</f>
        <v>11.781000000000001</v>
      </c>
      <c r="V21" s="139">
        <f>IF(J21="x",$S21*Percentages!E$18, 0)</f>
        <v>31.603000000000002</v>
      </c>
      <c r="W21" s="139">
        <f>IF(K21="x",$S21*Percentages!F$18, 0)</f>
        <v>68.629000000000005</v>
      </c>
      <c r="X21" s="139">
        <f>IF(L21="x",$S21*Percentages!G$18, 0)</f>
        <v>68.629000000000005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0</v>
      </c>
      <c r="T22" s="129">
        <f>IF(H22="x",$S22*Percentages!C$18, 0)</f>
        <v>0</v>
      </c>
      <c r="U22" s="130">
        <f>IF(I22="x",$S22*Percentages!D$18, 0)</f>
        <v>0</v>
      </c>
      <c r="V22" s="130">
        <f>IF(J22="x",$S22*Percentages!E$18, 0)</f>
        <v>0</v>
      </c>
      <c r="W22" s="130">
        <f>IF(K22="x",$S22*Percentages!F$18, 0)</f>
        <v>0</v>
      </c>
      <c r="X22" s="130">
        <f>IF(L22="x",$S22*Percentages!G$18, 0)</f>
        <v>0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187</v>
      </c>
      <c r="T23" s="138">
        <f>IF(H23="x",$S23*Percentages!C$18, 0)</f>
        <v>7.1059999999999999</v>
      </c>
      <c r="U23" s="139">
        <f>IF(I23="x",$S23*Percentages!D$18, 0)</f>
        <v>11.781000000000001</v>
      </c>
      <c r="V23" s="139">
        <f>IF(J23="x",$S23*Percentages!E$18, 0)</f>
        <v>31.603000000000002</v>
      </c>
      <c r="W23" s="139">
        <f>IF(K23="x",$S23*Percentages!F$18, 0)</f>
        <v>68.629000000000005</v>
      </c>
      <c r="X23" s="139">
        <f>IF(L23="x",$S23*Percentages!G$18, 0)</f>
        <v>68.629000000000005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07">
        <v>43850</v>
      </c>
      <c r="C24" s="108">
        <v>0.375</v>
      </c>
      <c r="D24" s="121" t="s">
        <v>68</v>
      </c>
      <c r="E24" s="122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0</v>
      </c>
      <c r="T24" s="129">
        <f>IF(H24="x",$S24*Percentages!C$18, 0)</f>
        <v>0</v>
      </c>
      <c r="U24" s="130">
        <f>IF(I24="x",$S24*Percentages!D$18, 0)</f>
        <v>0</v>
      </c>
      <c r="V24" s="130">
        <f>IF(J24="x",$S24*Percentages!E$18, 0)</f>
        <v>0</v>
      </c>
      <c r="W24" s="130">
        <f>IF(K24="x",$S24*Percentages!F$18, 0)</f>
        <v>0</v>
      </c>
      <c r="X24" s="130">
        <f>IF(L24="x",$S24*Percentages!G$18, 0)</f>
        <v>0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07">
        <v>43867</v>
      </c>
      <c r="C25" s="108">
        <v>0.6875</v>
      </c>
      <c r="D25" s="121" t="s">
        <v>68</v>
      </c>
      <c r="E25" s="121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187</v>
      </c>
      <c r="T25" s="138">
        <f>IF(H25="x",$S25*Percentages!C$18, 0)</f>
        <v>7.1059999999999999</v>
      </c>
      <c r="U25" s="139">
        <f>IF(I25="x",$S25*Percentages!D$18, 0)</f>
        <v>11.781000000000001</v>
      </c>
      <c r="V25" s="139">
        <f>IF(J25="x",$S25*Percentages!E$18, 0)</f>
        <v>31.603000000000002</v>
      </c>
      <c r="W25" s="139">
        <f>IF(K25="x",$S25*Percentages!F$18, 0)</f>
        <v>68.629000000000005</v>
      </c>
      <c r="X25" s="139">
        <f>IF(L25="x",$S25*Percentages!G$18, 0)</f>
        <v>68.629000000000005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0</v>
      </c>
      <c r="T26" s="129">
        <f>IF(H26="x",$S26*Percentages!C$18, 0)</f>
        <v>0</v>
      </c>
      <c r="U26" s="130">
        <f>IF(I26="x",$S26*Percentages!D$18, 0)</f>
        <v>0</v>
      </c>
      <c r="V26" s="130">
        <f>IF(J26="x",$S26*Percentages!E$18, 0)</f>
        <v>0</v>
      </c>
      <c r="W26" s="130">
        <f>IF(K26="x",$S26*Percentages!F$18, 0)</f>
        <v>0</v>
      </c>
      <c r="X26" s="130">
        <f>IF(L26="x",$S26*Percentages!G$18, 0)</f>
        <v>0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187</v>
      </c>
      <c r="T27" s="138">
        <f>IF(H27="x",$S27*Percentages!C$18, 0)</f>
        <v>7.1059999999999999</v>
      </c>
      <c r="U27" s="139">
        <f>IF(I27="x",$S27*Percentages!D$18, 0)</f>
        <v>11.781000000000001</v>
      </c>
      <c r="V27" s="139">
        <f>IF(J27="x",$S27*Percentages!E$18, 0)</f>
        <v>31.603000000000002</v>
      </c>
      <c r="W27" s="139">
        <f>IF(K27="x",$S27*Percentages!F$18, 0)</f>
        <v>68.629000000000005</v>
      </c>
      <c r="X27" s="139">
        <f>IF(L27="x",$S27*Percentages!G$18, 0)</f>
        <v>68.629000000000005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07">
        <v>43874</v>
      </c>
      <c r="C28" s="108">
        <v>0.6875</v>
      </c>
      <c r="D28" s="121" t="s">
        <v>68</v>
      </c>
      <c r="E28" s="121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187</v>
      </c>
      <c r="T28" s="138">
        <f>IF(H28="x",$S28*Percentages!C$18, 0)</f>
        <v>7.1059999999999999</v>
      </c>
      <c r="U28" s="139">
        <f>IF(I28="x",$S28*Percentages!D$18, 0)</f>
        <v>11.781000000000001</v>
      </c>
      <c r="V28" s="139">
        <f>IF(J28="x",$S28*Percentages!E$18, 0)</f>
        <v>31.603000000000002</v>
      </c>
      <c r="W28" s="139">
        <f>IF(K28="x",$S28*Percentages!F$18, 0)</f>
        <v>68.629000000000005</v>
      </c>
      <c r="X28" s="139">
        <f>IF(L28="x",$S28*Percentages!G$18, 0)</f>
        <v>68.629000000000005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0</v>
      </c>
      <c r="T29" s="129">
        <f>IF(H29="x",$S29*Percentages!C$18, 0)</f>
        <v>0</v>
      </c>
      <c r="U29" s="130">
        <f>IF(I29="x",$S29*Percentages!D$18, 0)</f>
        <v>0</v>
      </c>
      <c r="V29" s="130">
        <f>IF(J29="x",$S29*Percentages!E$18, 0)</f>
        <v>0</v>
      </c>
      <c r="W29" s="130">
        <f>IF(K29="x",$S29*Percentages!F$18, 0)</f>
        <v>0</v>
      </c>
      <c r="X29" s="130">
        <f>IF(L29="x",$S29*Percentages!G$18, 0)</f>
        <v>0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07">
        <v>43880</v>
      </c>
      <c r="C30" s="108">
        <v>0.69444444444444453</v>
      </c>
      <c r="D30" s="121" t="s">
        <v>68</v>
      </c>
      <c r="E30" s="121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187</v>
      </c>
      <c r="T30" s="138">
        <f>IF(H30="x",$S30*Percentages!C$18, 0)</f>
        <v>7.1059999999999999</v>
      </c>
      <c r="U30" s="139">
        <f>IF(I30="x",$S30*Percentages!D$18, 0)</f>
        <v>11.781000000000001</v>
      </c>
      <c r="V30" s="139">
        <f>IF(J30="x",$S30*Percentages!E$18, 0)</f>
        <v>31.603000000000002</v>
      </c>
      <c r="W30" s="139">
        <f>IF(K30="x",$S30*Percentages!F$18, 0)</f>
        <v>68.629000000000005</v>
      </c>
      <c r="X30" s="139">
        <f>IF(L30="x",$S30*Percentages!G$18, 0)</f>
        <v>68.629000000000005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0</v>
      </c>
      <c r="T31" s="129">
        <f>IF(H31="x",$S31*Percentages!C$18, 0)</f>
        <v>0</v>
      </c>
      <c r="U31" s="130">
        <f>IF(I31="x",$S31*Percentages!D$18, 0)</f>
        <v>0</v>
      </c>
      <c r="V31" s="130">
        <f>IF(J31="x",$S31*Percentages!E$18, 0)</f>
        <v>0</v>
      </c>
      <c r="W31" s="130">
        <f>IF(K31="x",$S31*Percentages!F$18, 0)</f>
        <v>0</v>
      </c>
      <c r="X31" s="130">
        <f>IF(L31="x",$S31*Percentages!G$18, 0)</f>
        <v>0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07">
        <v>43881</v>
      </c>
      <c r="C32" s="108">
        <v>0.27083333333333331</v>
      </c>
      <c r="D32" s="121" t="s">
        <v>68</v>
      </c>
      <c r="E32" s="122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0</v>
      </c>
      <c r="T32" s="129">
        <f>IF(H32="x",$S32*Percentages!C$18, 0)</f>
        <v>0</v>
      </c>
      <c r="U32" s="130">
        <f>IF(I32="x",$S32*Percentages!D$18, 0)</f>
        <v>0</v>
      </c>
      <c r="V32" s="130">
        <f>IF(J32="x",$S32*Percentages!E$18, 0)</f>
        <v>0</v>
      </c>
      <c r="W32" s="130">
        <f>IF(K32="x",$S32*Percentages!F$18, 0)</f>
        <v>0</v>
      </c>
      <c r="X32" s="130">
        <f>IF(L32="x",$S32*Percentages!G$18, 0)</f>
        <v>0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97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0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0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2057</v>
      </c>
      <c r="T36" s="35">
        <f t="shared" si="0"/>
        <v>78</v>
      </c>
      <c r="U36" s="36">
        <f t="shared" si="0"/>
        <v>130</v>
      </c>
      <c r="V36" s="36">
        <f t="shared" si="0"/>
        <v>348</v>
      </c>
      <c r="W36" s="36">
        <f t="shared" si="0"/>
        <v>755</v>
      </c>
      <c r="X36" s="36">
        <f t="shared" si="0"/>
        <v>755</v>
      </c>
      <c r="Y36" s="36">
        <f t="shared" si="0"/>
        <v>0</v>
      </c>
      <c r="Z36" s="38">
        <f t="shared" si="0"/>
        <v>0</v>
      </c>
    </row>
    <row r="37" spans="1:26" x14ac:dyDescent="0.25">
      <c r="E37" s="29" t="s">
        <v>73</v>
      </c>
      <c r="F37" s="20">
        <f>'Plow quotes'!M26</f>
        <v>187</v>
      </c>
    </row>
    <row r="38" spans="1:26" x14ac:dyDescent="0.25">
      <c r="E38" s="30" t="s">
        <v>74</v>
      </c>
      <c r="F38" s="20">
        <f>0</f>
        <v>0</v>
      </c>
    </row>
  </sheetData>
  <mergeCells count="4">
    <mergeCell ref="H3:N3"/>
    <mergeCell ref="O3:R3"/>
    <mergeCell ref="S3:Z3"/>
    <mergeCell ref="B2:G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x14ac:dyDescent="0.25">
      <c r="B2" s="204" t="s">
        <v>115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52">
        <v>1</v>
      </c>
      <c r="I4" s="53">
        <v>2</v>
      </c>
      <c r="J4" s="53">
        <v>3</v>
      </c>
      <c r="K4" s="53">
        <v>4</v>
      </c>
      <c r="L4" s="53">
        <v>5</v>
      </c>
      <c r="M4" s="53">
        <v>6</v>
      </c>
      <c r="N4" s="54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76" t="s">
        <v>63</v>
      </c>
      <c r="E5" s="177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32" t="s">
        <v>63</v>
      </c>
      <c r="E6" s="175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129</v>
      </c>
      <c r="T7" s="129">
        <f>IF(H7="x",$S7*Percentages!C$18, 0)</f>
        <v>4.9020000000000001</v>
      </c>
      <c r="U7" s="130">
        <f>IF(I7="x",$S7*Percentages!D$18, 0)</f>
        <v>8.1270000000000007</v>
      </c>
      <c r="V7" s="130">
        <f>IF(J7="x",$S7*Percentages!E$18, 0)</f>
        <v>21.801000000000002</v>
      </c>
      <c r="W7" s="130">
        <f>IF(K7="x",$S7*Percentages!F$18, 0)</f>
        <v>47.342999999999996</v>
      </c>
      <c r="X7" s="130">
        <f>IF(L7="x",$S7*Percentages!G$18, 0)</f>
        <v>47.342999999999996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66">
        <v>43802</v>
      </c>
      <c r="C8" s="167">
        <v>0.66666666666666663</v>
      </c>
      <c r="D8" s="168" t="s">
        <v>68</v>
      </c>
      <c r="E8" s="168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129</v>
      </c>
      <c r="T8" s="138">
        <f>IF(H8="x",$S8*Percentages!C$18, 0)</f>
        <v>4.9020000000000001</v>
      </c>
      <c r="U8" s="139">
        <f>IF(I8="x",$S8*Percentages!D$18, 0)</f>
        <v>8.1270000000000007</v>
      </c>
      <c r="V8" s="139">
        <f>IF(J8="x",$S8*Percentages!E$18, 0)</f>
        <v>21.801000000000002</v>
      </c>
      <c r="W8" s="139">
        <f>IF(K8="x",$S8*Percentages!F$18, 0)</f>
        <v>47.342999999999996</v>
      </c>
      <c r="X8" s="139">
        <f>IF(L8="x",$S8*Percentages!G$18, 0)</f>
        <v>47.342999999999996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129</v>
      </c>
      <c r="T9" s="129">
        <f>IF(H9="x",$S9*Percentages!C$18, 0)</f>
        <v>4.9020000000000001</v>
      </c>
      <c r="U9" s="130">
        <f>IF(I9="x",$S9*Percentages!D$18, 0)</f>
        <v>8.1270000000000007</v>
      </c>
      <c r="V9" s="130">
        <f>IF(J9="x",$S9*Percentages!E$18, 0)</f>
        <v>21.801000000000002</v>
      </c>
      <c r="W9" s="130">
        <f>IF(K9="x",$S9*Percentages!F$18, 0)</f>
        <v>47.342999999999996</v>
      </c>
      <c r="X9" s="130">
        <f>IF(L9="x",$S9*Percentages!G$18, 0)</f>
        <v>47.342999999999996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69">
        <v>43805</v>
      </c>
      <c r="C10" s="170">
        <v>0.375</v>
      </c>
      <c r="D10" s="171" t="s">
        <v>68</v>
      </c>
      <c r="E10" s="17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129</v>
      </c>
      <c r="T10" s="129">
        <f>IF(H10="x",$S10*Percentages!C$18, 0)</f>
        <v>4.9020000000000001</v>
      </c>
      <c r="U10" s="130">
        <f>IF(I10="x",$S10*Percentages!D$18, 0)</f>
        <v>8.1270000000000007</v>
      </c>
      <c r="V10" s="130">
        <f>IF(J10="x",$S10*Percentages!E$18, 0)</f>
        <v>21.801000000000002</v>
      </c>
      <c r="W10" s="130">
        <f>IF(K10="x",$S10*Percentages!F$18, 0)</f>
        <v>47.342999999999996</v>
      </c>
      <c r="X10" s="130">
        <f>IF(L10="x",$S10*Percentages!G$18, 0)</f>
        <v>47.342999999999996</v>
      </c>
      <c r="Y10" s="130">
        <f>IF(M10="x",$S10*Percentages!H$17, 0)</f>
        <v>0</v>
      </c>
      <c r="Z10" s="131">
        <f>IF(N10="x",$S10*Percentages!I$17, 0)</f>
        <v>0</v>
      </c>
    </row>
    <row r="11" spans="2:26" s="174" customFormat="1" x14ac:dyDescent="0.25">
      <c r="B11" s="169">
        <v>43816</v>
      </c>
      <c r="C11" s="170">
        <v>0.58333333333333337</v>
      </c>
      <c r="D11" s="171" t="s">
        <v>68</v>
      </c>
      <c r="E11" s="17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37"/>
      <c r="S11" s="118">
        <f>$F$37</f>
        <v>129</v>
      </c>
      <c r="T11" s="138">
        <f>IF(H11="x",$S11*Percentages!C$18, 0)</f>
        <v>4.9020000000000001</v>
      </c>
      <c r="U11" s="139">
        <f>IF(I11="x",$S11*Percentages!D$18, 0)</f>
        <v>8.1270000000000007</v>
      </c>
      <c r="V11" s="139">
        <f>IF(J11="x",$S11*Percentages!E$18, 0)</f>
        <v>21.801000000000002</v>
      </c>
      <c r="W11" s="139">
        <f>IF(K11="x",$S11*Percentages!F$18, 0)</f>
        <v>47.342999999999996</v>
      </c>
      <c r="X11" s="139">
        <f>IF(L11="x",$S11*Percentages!G$18, 0)</f>
        <v>47.342999999999996</v>
      </c>
      <c r="Y11" s="172">
        <f>IF(M11="x",$S11*Percentages!H$17, 0)</f>
        <v>0</v>
      </c>
      <c r="Z11" s="173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129</v>
      </c>
      <c r="T12" s="129">
        <f>IF(H12="x",$S12*Percentages!C$18, 0)</f>
        <v>4.9020000000000001</v>
      </c>
      <c r="U12" s="130">
        <f>IF(I12="x",$S12*Percentages!D$18, 0)</f>
        <v>8.1270000000000007</v>
      </c>
      <c r="V12" s="130">
        <f>IF(J12="x",$S12*Percentages!E$18, 0)</f>
        <v>21.801000000000002</v>
      </c>
      <c r="W12" s="130">
        <f>IF(K12="x",$S12*Percentages!F$18, 0)</f>
        <v>47.342999999999996</v>
      </c>
      <c r="X12" s="130">
        <f>IF(L12="x",$S12*Percentages!G$18, 0)</f>
        <v>47.342999999999996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129</v>
      </c>
      <c r="T13" s="138">
        <f>IF(H13="x",$S13*Percentages!C$18, 0)</f>
        <v>4.9020000000000001</v>
      </c>
      <c r="U13" s="139">
        <f>IF(I13="x",$S13*Percentages!D$18, 0)</f>
        <v>8.1270000000000007</v>
      </c>
      <c r="V13" s="139">
        <f>IF(J13="x",$S13*Percentages!E$18, 0)</f>
        <v>21.801000000000002</v>
      </c>
      <c r="W13" s="139">
        <f>IF(K13="x",$S13*Percentages!F$18, 0)</f>
        <v>47.342999999999996</v>
      </c>
      <c r="X13" s="139">
        <f>IF(L13="x",$S13*Percentages!G$18, 0)</f>
        <v>47.342999999999996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66">
        <v>43830</v>
      </c>
      <c r="C14" s="167">
        <v>0.6875</v>
      </c>
      <c r="D14" s="168" t="s">
        <v>68</v>
      </c>
      <c r="E14" s="168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129</v>
      </c>
      <c r="T14" s="138">
        <f>IF(H14="x",$S14*Percentages!C$18, 0)</f>
        <v>4.9020000000000001</v>
      </c>
      <c r="U14" s="139">
        <f>IF(I14="x",$S14*Percentages!D$18, 0)</f>
        <v>8.1270000000000007</v>
      </c>
      <c r="V14" s="139">
        <f>IF(J14="x",$S14*Percentages!E$18, 0)</f>
        <v>21.801000000000002</v>
      </c>
      <c r="W14" s="139">
        <f>IF(K14="x",$S14*Percentages!F$18, 0)</f>
        <v>47.342999999999996</v>
      </c>
      <c r="X14" s="139">
        <f>IF(L14="x",$S14*Percentages!G$18, 0)</f>
        <v>47.342999999999996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129</v>
      </c>
      <c r="T15" s="129">
        <f>IF(H15="x",$S15*Percentages!C$18, 0)</f>
        <v>4.9020000000000001</v>
      </c>
      <c r="U15" s="130">
        <f>IF(I15="x",$S15*Percentages!D$18, 0)</f>
        <v>8.1270000000000007</v>
      </c>
      <c r="V15" s="130">
        <f>IF(J15="x",$S15*Percentages!E$18, 0)</f>
        <v>21.801000000000002</v>
      </c>
      <c r="W15" s="130">
        <f>IF(K15="x",$S15*Percentages!F$18, 0)</f>
        <v>47.342999999999996</v>
      </c>
      <c r="X15" s="130">
        <f>IF(L15="x",$S15*Percentages!G$18, 0)</f>
        <v>47.342999999999996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79">
        <v>43834</v>
      </c>
      <c r="C16" s="180">
        <v>0.625</v>
      </c>
      <c r="D16" s="178" t="s">
        <v>68</v>
      </c>
      <c r="E16" s="178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129</v>
      </c>
      <c r="T16" s="129">
        <f>IF(H16="x",$S16*Percentages!C$18, 0)</f>
        <v>4.9020000000000001</v>
      </c>
      <c r="U16" s="130">
        <f>IF(I16="x",$S16*Percentages!D$18, 0)</f>
        <v>8.1270000000000007</v>
      </c>
      <c r="V16" s="130">
        <f>IF(J16="x",$S16*Percentages!E$18, 0)</f>
        <v>21.801000000000002</v>
      </c>
      <c r="W16" s="130">
        <f>IF(K16="x",$S16*Percentages!F$18, 0)</f>
        <v>47.342999999999996</v>
      </c>
      <c r="X16" s="130">
        <f>IF(L16="x",$S16*Percentages!G$18, 0)</f>
        <v>47.342999999999996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79">
        <v>43837</v>
      </c>
      <c r="C17" s="180">
        <v>0.91666666666666663</v>
      </c>
      <c r="D17" s="178" t="s">
        <v>68</v>
      </c>
      <c r="E17" s="178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129</v>
      </c>
      <c r="T17" s="129">
        <f>IF(H17="x",$S17*Percentages!C$18, 0)</f>
        <v>4.9020000000000001</v>
      </c>
      <c r="U17" s="130">
        <f>IF(I17="x",$S17*Percentages!D$18, 0)</f>
        <v>8.1270000000000007</v>
      </c>
      <c r="V17" s="130">
        <f>IF(J17="x",$S17*Percentages!E$18, 0)</f>
        <v>21.801000000000002</v>
      </c>
      <c r="W17" s="130">
        <f>IF(K17="x",$S17*Percentages!F$18, 0)</f>
        <v>47.342999999999996</v>
      </c>
      <c r="X17" s="130">
        <f>IF(L17="x",$S17*Percentages!G$18, 0)</f>
        <v>47.342999999999996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79">
        <v>43839</v>
      </c>
      <c r="C18" s="180">
        <v>0.66666666666666663</v>
      </c>
      <c r="D18" s="178" t="s">
        <v>68</v>
      </c>
      <c r="E18" s="178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129</v>
      </c>
      <c r="T18" s="129">
        <f>IF(H18="x",$S18*Percentages!C$18, 0)</f>
        <v>4.9020000000000001</v>
      </c>
      <c r="U18" s="130">
        <f>IF(I18="x",$S18*Percentages!D$18, 0)</f>
        <v>8.1270000000000007</v>
      </c>
      <c r="V18" s="130">
        <f>IF(J18="x",$S18*Percentages!E$18, 0)</f>
        <v>21.801000000000002</v>
      </c>
      <c r="W18" s="130">
        <f>IF(K18="x",$S18*Percentages!F$18, 0)</f>
        <v>47.342999999999996</v>
      </c>
      <c r="X18" s="130">
        <f>IF(L18="x",$S18*Percentages!G$18, 0)</f>
        <v>47.342999999999996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69">
        <v>43844</v>
      </c>
      <c r="C19" s="170">
        <v>0.60416666666666663</v>
      </c>
      <c r="D19" s="171" t="s">
        <v>68</v>
      </c>
      <c r="E19" s="17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129</v>
      </c>
      <c r="T19" s="138">
        <f>IF(H19="x",$S19*Percentages!C$18, 0)</f>
        <v>4.9020000000000001</v>
      </c>
      <c r="U19" s="139">
        <f>IF(I19="x",$S19*Percentages!D$18, 0)</f>
        <v>8.1270000000000007</v>
      </c>
      <c r="V19" s="139">
        <f>IF(J19="x",$S19*Percentages!E$18, 0)</f>
        <v>21.801000000000002</v>
      </c>
      <c r="W19" s="139">
        <f>IF(K19="x",$S19*Percentages!F$18, 0)</f>
        <v>47.342999999999996</v>
      </c>
      <c r="X19" s="139">
        <f>IF(L19="x",$S19*Percentages!G$18, 0)</f>
        <v>47.342999999999996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66">
        <v>43846</v>
      </c>
      <c r="C20" s="167">
        <v>0.625</v>
      </c>
      <c r="D20" s="168" t="s">
        <v>68</v>
      </c>
      <c r="E20" s="168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129</v>
      </c>
      <c r="T20" s="129">
        <f>IF(H20="x",$S20*Percentages!C$18, 0)</f>
        <v>4.9020000000000001</v>
      </c>
      <c r="U20" s="130">
        <f>IF(I20="x",$S20*Percentages!D$18, 0)</f>
        <v>8.1270000000000007</v>
      </c>
      <c r="V20" s="130">
        <f>IF(J20="x",$S20*Percentages!E$18, 0)</f>
        <v>21.801000000000002</v>
      </c>
      <c r="W20" s="130">
        <f>IF(K20="x",$S20*Percentages!F$18, 0)</f>
        <v>47.342999999999996</v>
      </c>
      <c r="X20" s="130">
        <f>IF(L20="x",$S20*Percentages!G$18, 0)</f>
        <v>47.342999999999996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129</v>
      </c>
      <c r="T21" s="138">
        <f>IF(H21="x",$S21*Percentages!C$18, 0)</f>
        <v>4.9020000000000001</v>
      </c>
      <c r="U21" s="139">
        <f>IF(I21="x",$S21*Percentages!D$18, 0)</f>
        <v>8.1270000000000007</v>
      </c>
      <c r="V21" s="139">
        <f>IF(J21="x",$S21*Percentages!E$18, 0)</f>
        <v>21.801000000000002</v>
      </c>
      <c r="W21" s="139">
        <f>IF(K21="x",$S21*Percentages!F$18, 0)</f>
        <v>47.342999999999996</v>
      </c>
      <c r="X21" s="139">
        <f>IF(L21="x",$S21*Percentages!G$18, 0)</f>
        <v>47.342999999999996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129</v>
      </c>
      <c r="T22" s="129">
        <f>IF(H22="x",$S22*Percentages!C$18, 0)</f>
        <v>4.9020000000000001</v>
      </c>
      <c r="U22" s="130">
        <f>IF(I22="x",$S22*Percentages!D$18, 0)</f>
        <v>8.1270000000000007</v>
      </c>
      <c r="V22" s="130">
        <f>IF(J22="x",$S22*Percentages!E$18, 0)</f>
        <v>21.801000000000002</v>
      </c>
      <c r="W22" s="130">
        <f>IF(K22="x",$S22*Percentages!F$18, 0)</f>
        <v>47.342999999999996</v>
      </c>
      <c r="X22" s="130">
        <f>IF(L22="x",$S22*Percentages!G$18, 0)</f>
        <v>47.342999999999996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129</v>
      </c>
      <c r="T23" s="138">
        <f>IF(H23="x",$S23*Percentages!C$18, 0)</f>
        <v>4.9020000000000001</v>
      </c>
      <c r="U23" s="139">
        <f>IF(I23="x",$S23*Percentages!D$18, 0)</f>
        <v>8.1270000000000007</v>
      </c>
      <c r="V23" s="139">
        <f>IF(J23="x",$S23*Percentages!E$18, 0)</f>
        <v>21.801000000000002</v>
      </c>
      <c r="W23" s="139">
        <f>IF(K23="x",$S23*Percentages!F$18, 0)</f>
        <v>47.342999999999996</v>
      </c>
      <c r="X23" s="139">
        <f>IF(L23="x",$S23*Percentages!G$18, 0)</f>
        <v>47.342999999999996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79">
        <v>43850</v>
      </c>
      <c r="C24" s="180">
        <v>0.375</v>
      </c>
      <c r="D24" s="178" t="s">
        <v>68</v>
      </c>
      <c r="E24" s="178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129</v>
      </c>
      <c r="T24" s="129">
        <f>IF(H24="x",$S24*Percentages!C$18, 0)</f>
        <v>4.9020000000000001</v>
      </c>
      <c r="U24" s="130">
        <f>IF(I24="x",$S24*Percentages!D$18, 0)</f>
        <v>8.1270000000000007</v>
      </c>
      <c r="V24" s="130">
        <f>IF(J24="x",$S24*Percentages!E$18, 0)</f>
        <v>21.801000000000002</v>
      </c>
      <c r="W24" s="130">
        <f>IF(K24="x",$S24*Percentages!F$18, 0)</f>
        <v>47.342999999999996</v>
      </c>
      <c r="X24" s="130">
        <f>IF(L24="x",$S24*Percentages!G$18, 0)</f>
        <v>47.342999999999996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66">
        <v>43867</v>
      </c>
      <c r="C25" s="167">
        <v>0.6875</v>
      </c>
      <c r="D25" s="168" t="s">
        <v>68</v>
      </c>
      <c r="E25" s="168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129</v>
      </c>
      <c r="T25" s="138">
        <f>IF(H25="x",$S25*Percentages!C$18, 0)</f>
        <v>4.9020000000000001</v>
      </c>
      <c r="U25" s="139">
        <f>IF(I25="x",$S25*Percentages!D$18, 0)</f>
        <v>8.1270000000000007</v>
      </c>
      <c r="V25" s="139">
        <f>IF(J25="x",$S25*Percentages!E$18, 0)</f>
        <v>21.801000000000002</v>
      </c>
      <c r="W25" s="139">
        <f>IF(K25="x",$S25*Percentages!F$18, 0)</f>
        <v>47.342999999999996</v>
      </c>
      <c r="X25" s="139">
        <f>IF(L25="x",$S25*Percentages!G$18, 0)</f>
        <v>47.342999999999996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129</v>
      </c>
      <c r="T26" s="129">
        <f>IF(H26="x",$S26*Percentages!C$18, 0)</f>
        <v>4.9020000000000001</v>
      </c>
      <c r="U26" s="130">
        <f>IF(I26="x",$S26*Percentages!D$18, 0)</f>
        <v>8.1270000000000007</v>
      </c>
      <c r="V26" s="130">
        <f>IF(J26="x",$S26*Percentages!E$18, 0)</f>
        <v>21.801000000000002</v>
      </c>
      <c r="W26" s="130">
        <f>IF(K26="x",$S26*Percentages!F$18, 0)</f>
        <v>47.342999999999996</v>
      </c>
      <c r="X26" s="130">
        <f>IF(L26="x",$S26*Percentages!G$18, 0)</f>
        <v>47.342999999999996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129</v>
      </c>
      <c r="T27" s="138">
        <f>IF(H27="x",$S27*Percentages!C$18, 0)</f>
        <v>4.9020000000000001</v>
      </c>
      <c r="U27" s="139">
        <f>IF(I27="x",$S27*Percentages!D$18, 0)</f>
        <v>8.1270000000000007</v>
      </c>
      <c r="V27" s="139">
        <f>IF(J27="x",$S27*Percentages!E$18, 0)</f>
        <v>21.801000000000002</v>
      </c>
      <c r="W27" s="139">
        <f>IF(K27="x",$S27*Percentages!F$18, 0)</f>
        <v>47.342999999999996</v>
      </c>
      <c r="X27" s="139">
        <f>IF(L27="x",$S27*Percentages!G$18, 0)</f>
        <v>47.342999999999996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66">
        <v>43874</v>
      </c>
      <c r="C28" s="167">
        <v>0.6875</v>
      </c>
      <c r="D28" s="168" t="s">
        <v>68</v>
      </c>
      <c r="E28" s="168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129</v>
      </c>
      <c r="T28" s="138">
        <f>IF(H28="x",$S28*Percentages!C$18, 0)</f>
        <v>4.9020000000000001</v>
      </c>
      <c r="U28" s="139">
        <f>IF(I28="x",$S28*Percentages!D$18, 0)</f>
        <v>8.1270000000000007</v>
      </c>
      <c r="V28" s="139">
        <f>IF(J28="x",$S28*Percentages!E$18, 0)</f>
        <v>21.801000000000002</v>
      </c>
      <c r="W28" s="139">
        <f>IF(K28="x",$S28*Percentages!F$18, 0)</f>
        <v>47.342999999999996</v>
      </c>
      <c r="X28" s="139">
        <f>IF(L28="x",$S28*Percentages!G$18, 0)</f>
        <v>47.342999999999996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129</v>
      </c>
      <c r="T29" s="129">
        <f>IF(H29="x",$S29*Percentages!C$18, 0)</f>
        <v>4.9020000000000001</v>
      </c>
      <c r="U29" s="130">
        <f>IF(I29="x",$S29*Percentages!D$18, 0)</f>
        <v>8.1270000000000007</v>
      </c>
      <c r="V29" s="130">
        <f>IF(J29="x",$S29*Percentages!E$18, 0)</f>
        <v>21.801000000000002</v>
      </c>
      <c r="W29" s="130">
        <f>IF(K29="x",$S29*Percentages!F$18, 0)</f>
        <v>47.342999999999996</v>
      </c>
      <c r="X29" s="130">
        <f>IF(L29="x",$S29*Percentages!G$18, 0)</f>
        <v>47.342999999999996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66">
        <v>43880</v>
      </c>
      <c r="C30" s="167">
        <v>0.69444444444444453</v>
      </c>
      <c r="D30" s="168" t="s">
        <v>68</v>
      </c>
      <c r="E30" s="168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129</v>
      </c>
      <c r="T30" s="138">
        <f>IF(H30="x",$S30*Percentages!C$18, 0)</f>
        <v>4.9020000000000001</v>
      </c>
      <c r="U30" s="139">
        <f>IF(I30="x",$S30*Percentages!D$18, 0)</f>
        <v>8.1270000000000007</v>
      </c>
      <c r="V30" s="139">
        <f>IF(J30="x",$S30*Percentages!E$18, 0)</f>
        <v>21.801000000000002</v>
      </c>
      <c r="W30" s="139">
        <f>IF(K30="x",$S30*Percentages!F$18, 0)</f>
        <v>47.342999999999996</v>
      </c>
      <c r="X30" s="139">
        <f>IF(L30="x",$S30*Percentages!G$18, 0)</f>
        <v>47.342999999999996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129</v>
      </c>
      <c r="T31" s="129">
        <f>IF(H31="x",$S31*Percentages!C$18, 0)</f>
        <v>4.9020000000000001</v>
      </c>
      <c r="U31" s="130">
        <f>IF(I31="x",$S31*Percentages!D$18, 0)</f>
        <v>8.1270000000000007</v>
      </c>
      <c r="V31" s="130">
        <f>IF(J31="x",$S31*Percentages!E$18, 0)</f>
        <v>21.801000000000002</v>
      </c>
      <c r="W31" s="130">
        <f>IF(K31="x",$S31*Percentages!F$18, 0)</f>
        <v>47.342999999999996</v>
      </c>
      <c r="X31" s="130">
        <f>IF(L31="x",$S31*Percentages!G$18, 0)</f>
        <v>47.342999999999996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07">
        <v>43881</v>
      </c>
      <c r="C32" s="108">
        <v>0.27083333333333331</v>
      </c>
      <c r="D32" s="121" t="s">
        <v>68</v>
      </c>
      <c r="E32" s="122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129</v>
      </c>
      <c r="T32" s="129">
        <f>IF(H32="x",$S32*Percentages!C$18, 0)</f>
        <v>4.9020000000000001</v>
      </c>
      <c r="U32" s="130">
        <f>IF(I32="x",$S32*Percentages!D$18, 0)</f>
        <v>8.1270000000000007</v>
      </c>
      <c r="V32" s="130">
        <f>IF(J32="x",$S32*Percentages!E$18, 0)</f>
        <v>21.801000000000002</v>
      </c>
      <c r="W32" s="130">
        <f>IF(K32="x",$S32*Percentages!F$18, 0)</f>
        <v>47.342999999999996</v>
      </c>
      <c r="X32" s="130">
        <f>IF(L32="x",$S32*Percentages!G$18, 0)</f>
        <v>47.342999999999996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97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129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47.342999999999996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3483</v>
      </c>
      <c r="T36" s="35">
        <f t="shared" si="0"/>
        <v>127</v>
      </c>
      <c r="U36" s="36">
        <f t="shared" si="0"/>
        <v>211</v>
      </c>
      <c r="V36" s="36">
        <f t="shared" si="0"/>
        <v>567</v>
      </c>
      <c r="W36" s="36">
        <f t="shared" si="0"/>
        <v>1231</v>
      </c>
      <c r="X36" s="36">
        <f t="shared" si="0"/>
        <v>1278</v>
      </c>
      <c r="Y36" s="36">
        <f t="shared" si="0"/>
        <v>0</v>
      </c>
      <c r="Z36" s="38">
        <f t="shared" si="0"/>
        <v>0</v>
      </c>
    </row>
    <row r="37" spans="1:26" x14ac:dyDescent="0.25">
      <c r="E37" s="191" t="s">
        <v>73</v>
      </c>
      <c r="F37" s="20">
        <f>'Plow quotes'!M24</f>
        <v>129</v>
      </c>
    </row>
    <row r="38" spans="1:26" x14ac:dyDescent="0.25">
      <c r="E38" s="190" t="s">
        <v>110</v>
      </c>
      <c r="F38" s="20">
        <f>'Plow quotes'!M24</f>
        <v>129</v>
      </c>
    </row>
  </sheetData>
  <mergeCells count="4">
    <mergeCell ref="H3:N3"/>
    <mergeCell ref="O3:R3"/>
    <mergeCell ref="S3:Z3"/>
    <mergeCell ref="B2:G2"/>
  </mergeCells>
  <pageMargins left="0.5" right="0.4" top="0.5" bottom="0.25" header="0" footer="0"/>
  <pageSetup scale="74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4.3" outlineLevelCol="1" x14ac:dyDescent="0.25"/>
  <cols>
    <col min="1" max="1" width="2.140625" customWidth="1"/>
    <col min="2" max="2" width="11.42578125" customWidth="1"/>
    <col min="3" max="3" width="6.28515625" customWidth="1"/>
    <col min="4" max="4" width="13" customWidth="1"/>
    <col min="5" max="5" width="59" customWidth="1"/>
    <col min="6" max="6" width="13.5703125" customWidth="1"/>
    <col min="7" max="7" width="10.42578125" bestFit="1" customWidth="1"/>
    <col min="8" max="12" width="2.85546875" customWidth="1"/>
    <col min="13" max="14" width="2.85546875" hidden="1" customWidth="1" outlineLevel="1"/>
    <col min="15" max="18" width="4" hidden="1" customWidth="1" outlineLevel="1"/>
    <col min="19" max="19" width="8" bestFit="1" customWidth="1" collapsed="1"/>
    <col min="20" max="22" width="7" bestFit="1" customWidth="1"/>
    <col min="23" max="24" width="8" bestFit="1" customWidth="1"/>
    <col min="25" max="26" width="3.5703125" hidden="1" customWidth="1" outlineLevel="1"/>
    <col min="27" max="27" width="9.140625" collapsed="1"/>
  </cols>
  <sheetData>
    <row r="2" spans="2:26" ht="72" x14ac:dyDescent="0.25">
      <c r="B2" s="204" t="s">
        <v>116</v>
      </c>
      <c r="C2" s="205"/>
      <c r="D2" s="205"/>
      <c r="E2" s="205"/>
      <c r="F2" s="205"/>
      <c r="G2" s="205"/>
      <c r="H2" s="21" t="s">
        <v>38</v>
      </c>
      <c r="I2" s="21" t="s">
        <v>39</v>
      </c>
      <c r="J2" s="21" t="s">
        <v>40</v>
      </c>
      <c r="K2" s="21" t="s">
        <v>41</v>
      </c>
      <c r="L2" s="21" t="s">
        <v>42</v>
      </c>
      <c r="M2" s="21" t="s">
        <v>43</v>
      </c>
      <c r="N2" s="21" t="s">
        <v>42</v>
      </c>
      <c r="O2" s="10"/>
      <c r="P2" s="10"/>
      <c r="Q2" s="10"/>
      <c r="R2" s="10"/>
      <c r="S2" s="10"/>
      <c r="T2" s="21" t="s">
        <v>38</v>
      </c>
      <c r="U2" s="21" t="s">
        <v>39</v>
      </c>
      <c r="V2" s="21" t="s">
        <v>40</v>
      </c>
      <c r="W2" s="21" t="s">
        <v>41</v>
      </c>
      <c r="X2" s="21" t="s">
        <v>42</v>
      </c>
      <c r="Y2" s="21" t="s">
        <v>43</v>
      </c>
      <c r="Z2" s="21" t="s">
        <v>42</v>
      </c>
    </row>
    <row r="3" spans="2:26" x14ac:dyDescent="0.25">
      <c r="B3" s="22"/>
      <c r="C3" s="22"/>
      <c r="D3" s="22"/>
      <c r="E3" s="22"/>
      <c r="F3" s="22"/>
      <c r="G3" s="22"/>
      <c r="H3" s="198" t="s">
        <v>56</v>
      </c>
      <c r="I3" s="199"/>
      <c r="J3" s="199"/>
      <c r="K3" s="199"/>
      <c r="L3" s="199"/>
      <c r="M3" s="199"/>
      <c r="N3" s="200"/>
      <c r="O3" s="201" t="s">
        <v>57</v>
      </c>
      <c r="P3" s="202"/>
      <c r="Q3" s="202"/>
      <c r="R3" s="203"/>
      <c r="S3" s="198" t="s">
        <v>44</v>
      </c>
      <c r="T3" s="199"/>
      <c r="U3" s="199"/>
      <c r="V3" s="199"/>
      <c r="W3" s="199"/>
      <c r="X3" s="199"/>
      <c r="Y3" s="199"/>
      <c r="Z3" s="200"/>
    </row>
    <row r="4" spans="2:26" x14ac:dyDescent="0.25">
      <c r="B4" s="23" t="s">
        <v>58</v>
      </c>
      <c r="C4" s="24" t="s">
        <v>59</v>
      </c>
      <c r="D4" s="24" t="s">
        <v>60</v>
      </c>
      <c r="E4" s="25" t="s">
        <v>19</v>
      </c>
      <c r="F4" s="151" t="s">
        <v>61</v>
      </c>
      <c r="G4" s="151" t="s">
        <v>62</v>
      </c>
      <c r="H4" s="52">
        <v>1</v>
      </c>
      <c r="I4" s="53">
        <v>2</v>
      </c>
      <c r="J4" s="53">
        <v>3</v>
      </c>
      <c r="K4" s="53">
        <v>4</v>
      </c>
      <c r="L4" s="53">
        <v>5</v>
      </c>
      <c r="M4" s="53">
        <v>6</v>
      </c>
      <c r="N4" s="54">
        <v>7</v>
      </c>
      <c r="O4" s="52">
        <v>28</v>
      </c>
      <c r="P4" s="53">
        <v>215</v>
      </c>
      <c r="Q4" s="53">
        <v>236</v>
      </c>
      <c r="R4" s="54">
        <v>275</v>
      </c>
      <c r="S4" s="52" t="s">
        <v>46</v>
      </c>
      <c r="T4" s="152">
        <v>1</v>
      </c>
      <c r="U4" s="153">
        <v>2</v>
      </c>
      <c r="V4" s="153">
        <v>3</v>
      </c>
      <c r="W4" s="153">
        <v>4</v>
      </c>
      <c r="X4" s="27">
        <v>5</v>
      </c>
      <c r="Y4" s="27">
        <v>6</v>
      </c>
      <c r="Z4" s="39">
        <v>7</v>
      </c>
    </row>
    <row r="5" spans="2:26" s="28" customFormat="1" x14ac:dyDescent="0.25">
      <c r="B5" s="101">
        <v>43783</v>
      </c>
      <c r="C5" s="102">
        <v>0.625</v>
      </c>
      <c r="D5" s="176" t="s">
        <v>63</v>
      </c>
      <c r="E5" s="177" t="s">
        <v>64</v>
      </c>
      <c r="F5" s="154" t="s">
        <v>65</v>
      </c>
      <c r="G5" s="155" t="s">
        <v>66</v>
      </c>
      <c r="H5" s="156"/>
      <c r="I5" s="157"/>
      <c r="J5" s="157" t="s">
        <v>49</v>
      </c>
      <c r="K5" s="158" t="s">
        <v>49</v>
      </c>
      <c r="L5" s="158" t="s">
        <v>49</v>
      </c>
      <c r="M5" s="157"/>
      <c r="N5" s="159"/>
      <c r="O5" s="156"/>
      <c r="P5" s="157"/>
      <c r="Q5" s="157"/>
      <c r="R5" s="159"/>
      <c r="S5" s="160"/>
      <c r="T5" s="161">
        <f>$S5*Percentages!C$18</f>
        <v>0</v>
      </c>
      <c r="U5" s="162">
        <f>$S5*Percentages!D$18</f>
        <v>0</v>
      </c>
      <c r="V5" s="162">
        <f>$S5*Percentages!E$18</f>
        <v>0</v>
      </c>
      <c r="W5" s="162">
        <f>$S5*Percentages!F$18</f>
        <v>0</v>
      </c>
      <c r="X5" s="47">
        <f>$S5*Percentages!G$18</f>
        <v>0</v>
      </c>
      <c r="Y5" s="47">
        <f>$S5*Percentages!H$17</f>
        <v>0</v>
      </c>
      <c r="Z5" s="48">
        <f>$S5*Percentages!I$17</f>
        <v>0</v>
      </c>
    </row>
    <row r="6" spans="2:26" s="28" customFormat="1" x14ac:dyDescent="0.25">
      <c r="B6" s="107">
        <v>43784</v>
      </c>
      <c r="C6" s="108">
        <v>0.66666666666666663</v>
      </c>
      <c r="D6" s="132" t="s">
        <v>63</v>
      </c>
      <c r="E6" s="175" t="s">
        <v>67</v>
      </c>
      <c r="F6" s="111" t="s">
        <v>65</v>
      </c>
      <c r="G6" s="112" t="s">
        <v>66</v>
      </c>
      <c r="H6" s="113"/>
      <c r="I6" s="114"/>
      <c r="J6" s="114"/>
      <c r="K6" s="115" t="s">
        <v>49</v>
      </c>
      <c r="L6" s="115" t="s">
        <v>49</v>
      </c>
      <c r="M6" s="114"/>
      <c r="N6" s="116"/>
      <c r="O6" s="113"/>
      <c r="P6" s="114"/>
      <c r="Q6" s="114"/>
      <c r="R6" s="116"/>
      <c r="S6" s="117"/>
      <c r="T6" s="118">
        <f>$S6*Percentages!C$18</f>
        <v>0</v>
      </c>
      <c r="U6" s="119">
        <f>$S6*Percentages!D$18</f>
        <v>0</v>
      </c>
      <c r="V6" s="119">
        <f>$S6*Percentages!E$18</f>
        <v>0</v>
      </c>
      <c r="W6" s="119">
        <f>$S6*Percentages!F$18</f>
        <v>0</v>
      </c>
      <c r="X6" s="119">
        <f>$S6*Percentages!G$18</f>
        <v>0</v>
      </c>
      <c r="Y6" s="119">
        <f>$S6*Percentages!H$17</f>
        <v>0</v>
      </c>
      <c r="Z6" s="120">
        <f>$S6*Percentages!I$17</f>
        <v>0</v>
      </c>
    </row>
    <row r="7" spans="2:26" s="28" customFormat="1" x14ac:dyDescent="0.25">
      <c r="B7" s="107">
        <v>43802</v>
      </c>
      <c r="C7" s="108">
        <v>0.375</v>
      </c>
      <c r="D7" s="121" t="s">
        <v>68</v>
      </c>
      <c r="E7" s="122" t="s">
        <v>77</v>
      </c>
      <c r="F7" s="123" t="s">
        <v>65</v>
      </c>
      <c r="G7" s="124" t="s">
        <v>70</v>
      </c>
      <c r="H7" s="125" t="s">
        <v>49</v>
      </c>
      <c r="I7" s="126" t="s">
        <v>49</v>
      </c>
      <c r="J7" s="126" t="s">
        <v>49</v>
      </c>
      <c r="K7" s="126" t="s">
        <v>49</v>
      </c>
      <c r="L7" s="126" t="s">
        <v>49</v>
      </c>
      <c r="M7" s="114"/>
      <c r="N7" s="116"/>
      <c r="O7" s="113"/>
      <c r="P7" s="114"/>
      <c r="Q7" s="126"/>
      <c r="R7" s="127"/>
      <c r="S7" s="128">
        <f>$F$38</f>
        <v>68</v>
      </c>
      <c r="T7" s="129">
        <f>IF(H7="x",$S7*Percentages!C$18, 0)</f>
        <v>2.5840000000000001</v>
      </c>
      <c r="U7" s="130">
        <f>IF(I7="x",$S7*Percentages!D$18, 0)</f>
        <v>4.2839999999999998</v>
      </c>
      <c r="V7" s="130">
        <f>IF(J7="x",$S7*Percentages!E$18, 0)</f>
        <v>11.492000000000001</v>
      </c>
      <c r="W7" s="130">
        <f>IF(K7="x",$S7*Percentages!F$18, 0)</f>
        <v>24.956</v>
      </c>
      <c r="X7" s="130">
        <f>IF(L7="x",$S7*Percentages!G$18, 0)</f>
        <v>24.956</v>
      </c>
      <c r="Y7" s="130">
        <f>IF(M7="x",$S7*Percentages!H$17, 0)</f>
        <v>0</v>
      </c>
      <c r="Z7" s="131">
        <f>IF(N7="x",$S7*Percentages!I$17, 0)</f>
        <v>0</v>
      </c>
    </row>
    <row r="8" spans="2:26" s="28" customFormat="1" x14ac:dyDescent="0.25">
      <c r="B8" s="166">
        <v>43802</v>
      </c>
      <c r="C8" s="167">
        <v>0.66666666666666663</v>
      </c>
      <c r="D8" s="168" t="s">
        <v>68</v>
      </c>
      <c r="E8" s="168" t="s">
        <v>69</v>
      </c>
      <c r="F8" s="132" t="s">
        <v>65</v>
      </c>
      <c r="G8" s="133" t="s">
        <v>70</v>
      </c>
      <c r="H8" s="134" t="s">
        <v>49</v>
      </c>
      <c r="I8" s="135" t="s">
        <v>49</v>
      </c>
      <c r="J8" s="135" t="s">
        <v>49</v>
      </c>
      <c r="K8" s="135" t="s">
        <v>49</v>
      </c>
      <c r="L8" s="135" t="s">
        <v>49</v>
      </c>
      <c r="M8" s="114"/>
      <c r="N8" s="116"/>
      <c r="O8" s="113"/>
      <c r="P8" s="114"/>
      <c r="Q8" s="136" t="s">
        <v>49</v>
      </c>
      <c r="R8" s="137" t="s">
        <v>49</v>
      </c>
      <c r="S8" s="118">
        <f>$F$37</f>
        <v>136</v>
      </c>
      <c r="T8" s="138">
        <f>IF(H8="x",$S8*Percentages!C$18, 0)</f>
        <v>5.1680000000000001</v>
      </c>
      <c r="U8" s="139">
        <f>IF(I8="x",$S8*Percentages!D$18, 0)</f>
        <v>8.5679999999999996</v>
      </c>
      <c r="V8" s="139">
        <f>IF(J8="x",$S8*Percentages!E$18, 0)</f>
        <v>22.984000000000002</v>
      </c>
      <c r="W8" s="139">
        <f>IF(K8="x",$S8*Percentages!F$18, 0)</f>
        <v>49.911999999999999</v>
      </c>
      <c r="X8" s="139">
        <f>IF(L8="x",$S8*Percentages!G$18, 0)</f>
        <v>49.911999999999999</v>
      </c>
      <c r="Y8" s="139">
        <f>IF(M8="x",$S8*Percentages!H$17, 0)</f>
        <v>0</v>
      </c>
      <c r="Z8" s="140">
        <f>IF(N8="x",$S8*Percentages!I$17, 0)</f>
        <v>0</v>
      </c>
    </row>
    <row r="9" spans="2:26" s="28" customFormat="1" x14ac:dyDescent="0.25">
      <c r="B9" s="107">
        <v>43803</v>
      </c>
      <c r="C9" s="108">
        <v>0.375</v>
      </c>
      <c r="D9" s="121" t="s">
        <v>68</v>
      </c>
      <c r="E9" s="122" t="s">
        <v>72</v>
      </c>
      <c r="F9" s="123" t="s">
        <v>65</v>
      </c>
      <c r="G9" s="124" t="s">
        <v>70</v>
      </c>
      <c r="H9" s="125" t="s">
        <v>49</v>
      </c>
      <c r="I9" s="126" t="s">
        <v>49</v>
      </c>
      <c r="J9" s="126" t="s">
        <v>49</v>
      </c>
      <c r="K9" s="126" t="s">
        <v>49</v>
      </c>
      <c r="L9" s="126" t="s">
        <v>49</v>
      </c>
      <c r="M9" s="126"/>
      <c r="N9" s="127"/>
      <c r="O9" s="125"/>
      <c r="P9" s="126"/>
      <c r="Q9" s="126" t="s">
        <v>49</v>
      </c>
      <c r="R9" s="127" t="s">
        <v>49</v>
      </c>
      <c r="S9" s="128">
        <f>$F$38</f>
        <v>68</v>
      </c>
      <c r="T9" s="129">
        <f>IF(H9="x",$S9*Percentages!C$18, 0)</f>
        <v>2.5840000000000001</v>
      </c>
      <c r="U9" s="130">
        <f>IF(I9="x",$S9*Percentages!D$18, 0)</f>
        <v>4.2839999999999998</v>
      </c>
      <c r="V9" s="130">
        <f>IF(J9="x",$S9*Percentages!E$18, 0)</f>
        <v>11.492000000000001</v>
      </c>
      <c r="W9" s="130">
        <f>IF(K9="x",$S9*Percentages!F$18, 0)</f>
        <v>24.956</v>
      </c>
      <c r="X9" s="130">
        <f>IF(L9="x",$S9*Percentages!G$18, 0)</f>
        <v>24.956</v>
      </c>
      <c r="Y9" s="130">
        <f>IF(M9="x",$S9*Percentages!H$17, 0)</f>
        <v>0</v>
      </c>
      <c r="Z9" s="131">
        <f>IF(N9="x",$S9*Percentages!I$17, 0)</f>
        <v>0</v>
      </c>
    </row>
    <row r="10" spans="2:26" s="28" customFormat="1" x14ac:dyDescent="0.25">
      <c r="B10" s="169">
        <v>43805</v>
      </c>
      <c r="C10" s="170">
        <v>0.375</v>
      </c>
      <c r="D10" s="171" t="s">
        <v>68</v>
      </c>
      <c r="E10" s="171" t="s">
        <v>69</v>
      </c>
      <c r="F10" s="123" t="s">
        <v>65</v>
      </c>
      <c r="G10" s="124" t="s">
        <v>70</v>
      </c>
      <c r="H10" s="125" t="s">
        <v>49</v>
      </c>
      <c r="I10" s="126" t="s">
        <v>49</v>
      </c>
      <c r="J10" s="126" t="s">
        <v>49</v>
      </c>
      <c r="K10" s="126" t="s">
        <v>49</v>
      </c>
      <c r="L10" s="126" t="s">
        <v>49</v>
      </c>
      <c r="M10" s="126"/>
      <c r="N10" s="127"/>
      <c r="O10" s="125"/>
      <c r="P10" s="126"/>
      <c r="Q10" s="126" t="s">
        <v>49</v>
      </c>
      <c r="R10" s="127"/>
      <c r="S10" s="128">
        <f>$F$38</f>
        <v>68</v>
      </c>
      <c r="T10" s="129">
        <f>IF(H10="x",$S10*Percentages!C$18, 0)</f>
        <v>2.5840000000000001</v>
      </c>
      <c r="U10" s="130">
        <f>IF(I10="x",$S10*Percentages!D$18, 0)</f>
        <v>4.2839999999999998</v>
      </c>
      <c r="V10" s="130">
        <f>IF(J10="x",$S10*Percentages!E$18, 0)</f>
        <v>11.492000000000001</v>
      </c>
      <c r="W10" s="130">
        <f>IF(K10="x",$S10*Percentages!F$18, 0)</f>
        <v>24.956</v>
      </c>
      <c r="X10" s="130">
        <f>IF(L10="x",$S10*Percentages!G$18, 0)</f>
        <v>24.956</v>
      </c>
      <c r="Y10" s="130">
        <f>IF(M10="x",$S10*Percentages!H$17, 0)</f>
        <v>0</v>
      </c>
      <c r="Z10" s="131">
        <f>IF(N10="x",$S10*Percentages!I$17, 0)</f>
        <v>0</v>
      </c>
    </row>
    <row r="11" spans="2:26" s="28" customFormat="1" x14ac:dyDescent="0.25">
      <c r="B11" s="169">
        <v>43816</v>
      </c>
      <c r="C11" s="170">
        <v>0.58333333333333337</v>
      </c>
      <c r="D11" s="171" t="s">
        <v>68</v>
      </c>
      <c r="E11" s="171" t="s">
        <v>69</v>
      </c>
      <c r="F11" s="111" t="s">
        <v>65</v>
      </c>
      <c r="G11" s="112" t="s">
        <v>70</v>
      </c>
      <c r="H11" s="141" t="s">
        <v>49</v>
      </c>
      <c r="I11" s="115" t="s">
        <v>49</v>
      </c>
      <c r="J11" s="115" t="s">
        <v>49</v>
      </c>
      <c r="K11" s="115" t="s">
        <v>49</v>
      </c>
      <c r="L11" s="115" t="s">
        <v>49</v>
      </c>
      <c r="M11" s="114"/>
      <c r="N11" s="116"/>
      <c r="O11" s="113"/>
      <c r="P11" s="114"/>
      <c r="Q11" s="142" t="s">
        <v>49</v>
      </c>
      <c r="R11" s="143"/>
      <c r="S11" s="118">
        <f>$F$37</f>
        <v>136</v>
      </c>
      <c r="T11" s="138">
        <f>IF(H11="x",$S11*Percentages!C$18, 0)</f>
        <v>5.1680000000000001</v>
      </c>
      <c r="U11" s="139">
        <f>IF(I11="x",$S11*Percentages!D$18, 0)</f>
        <v>8.5679999999999996</v>
      </c>
      <c r="V11" s="139">
        <f>IF(J11="x",$S11*Percentages!E$18, 0)</f>
        <v>22.984000000000002</v>
      </c>
      <c r="W11" s="139">
        <f>IF(K11="x",$S11*Percentages!F$18, 0)</f>
        <v>49.911999999999999</v>
      </c>
      <c r="X11" s="139">
        <f>IF(L11="x",$S11*Percentages!G$18, 0)</f>
        <v>49.911999999999999</v>
      </c>
      <c r="Y11" s="139">
        <f>IF(M11="x",$S11*Percentages!H$17, 0)</f>
        <v>0</v>
      </c>
      <c r="Z11" s="140">
        <f>IF(N11="x",$S11*Percentages!I$17, 0)</f>
        <v>0</v>
      </c>
    </row>
    <row r="12" spans="2:26" s="28" customFormat="1" x14ac:dyDescent="0.25">
      <c r="B12" s="107">
        <v>43829</v>
      </c>
      <c r="C12" s="108">
        <v>0.8125</v>
      </c>
      <c r="D12" s="121" t="s">
        <v>68</v>
      </c>
      <c r="E12" s="122" t="s">
        <v>77</v>
      </c>
      <c r="F12" s="123" t="s">
        <v>65</v>
      </c>
      <c r="G12" s="124" t="s">
        <v>70</v>
      </c>
      <c r="H12" s="125" t="s">
        <v>49</v>
      </c>
      <c r="I12" s="126" t="s">
        <v>49</v>
      </c>
      <c r="J12" s="126" t="s">
        <v>49</v>
      </c>
      <c r="K12" s="126" t="s">
        <v>49</v>
      </c>
      <c r="L12" s="126" t="s">
        <v>49</v>
      </c>
      <c r="M12" s="126"/>
      <c r="N12" s="127"/>
      <c r="O12" s="125"/>
      <c r="P12" s="144"/>
      <c r="Q12" s="126"/>
      <c r="R12" s="127"/>
      <c r="S12" s="128">
        <f>$F$38</f>
        <v>68</v>
      </c>
      <c r="T12" s="129">
        <f>IF(H12="x",$S12*Percentages!C$18, 0)</f>
        <v>2.5840000000000001</v>
      </c>
      <c r="U12" s="130">
        <f>IF(I12="x",$S12*Percentages!D$18, 0)</f>
        <v>4.2839999999999998</v>
      </c>
      <c r="V12" s="130">
        <f>IF(J12="x",$S12*Percentages!E$18, 0)</f>
        <v>11.492000000000001</v>
      </c>
      <c r="W12" s="130">
        <f>IF(K12="x",$S12*Percentages!F$18, 0)</f>
        <v>24.956</v>
      </c>
      <c r="X12" s="130">
        <f>IF(L12="x",$S12*Percentages!G$18, 0)</f>
        <v>24.956</v>
      </c>
      <c r="Y12" s="130">
        <f>IF(M12="x",$S12*Percentages!H$17, 0)</f>
        <v>0</v>
      </c>
      <c r="Z12" s="131">
        <f>IF(N12="x",$S12*Percentages!I$17, 0)</f>
        <v>0</v>
      </c>
    </row>
    <row r="13" spans="2:26" s="28" customFormat="1" x14ac:dyDescent="0.25">
      <c r="B13" s="107">
        <v>43830</v>
      </c>
      <c r="C13" s="108">
        <v>0.27083333333333331</v>
      </c>
      <c r="D13" s="121" t="s">
        <v>68</v>
      </c>
      <c r="E13" s="121" t="s">
        <v>69</v>
      </c>
      <c r="F13" s="111" t="s">
        <v>65</v>
      </c>
      <c r="G13" s="112" t="s">
        <v>70</v>
      </c>
      <c r="H13" s="141" t="s">
        <v>49</v>
      </c>
      <c r="I13" s="115" t="s">
        <v>49</v>
      </c>
      <c r="J13" s="115" t="s">
        <v>49</v>
      </c>
      <c r="K13" s="115" t="s">
        <v>49</v>
      </c>
      <c r="L13" s="115" t="s">
        <v>49</v>
      </c>
      <c r="M13" s="114"/>
      <c r="N13" s="116"/>
      <c r="O13" s="113"/>
      <c r="P13" s="114"/>
      <c r="Q13" s="142" t="s">
        <v>49</v>
      </c>
      <c r="R13" s="137" t="s">
        <v>49</v>
      </c>
      <c r="S13" s="118">
        <f>$F$37</f>
        <v>136</v>
      </c>
      <c r="T13" s="138">
        <f>IF(H13="x",$S13*Percentages!C$18, 0)</f>
        <v>5.1680000000000001</v>
      </c>
      <c r="U13" s="139">
        <f>IF(I13="x",$S13*Percentages!D$18, 0)</f>
        <v>8.5679999999999996</v>
      </c>
      <c r="V13" s="139">
        <f>IF(J13="x",$S13*Percentages!E$18, 0)</f>
        <v>22.984000000000002</v>
      </c>
      <c r="W13" s="139">
        <f>IF(K13="x",$S13*Percentages!F$18, 0)</f>
        <v>49.911999999999999</v>
      </c>
      <c r="X13" s="139">
        <f>IF(L13="x",$S13*Percentages!G$18, 0)</f>
        <v>49.911999999999999</v>
      </c>
      <c r="Y13" s="139">
        <f>IF(M13="x",$S13*Percentages!H$17, 0)</f>
        <v>0</v>
      </c>
      <c r="Z13" s="140">
        <f>IF(N13="x",$S13*Percentages!I$17, 0)</f>
        <v>0</v>
      </c>
    </row>
    <row r="14" spans="2:26" s="28" customFormat="1" x14ac:dyDescent="0.25">
      <c r="B14" s="166">
        <v>43830</v>
      </c>
      <c r="C14" s="167">
        <v>0.6875</v>
      </c>
      <c r="D14" s="168" t="s">
        <v>68</v>
      </c>
      <c r="E14" s="168" t="s">
        <v>69</v>
      </c>
      <c r="F14" s="111" t="s">
        <v>65</v>
      </c>
      <c r="G14" s="112" t="s">
        <v>70</v>
      </c>
      <c r="H14" s="141" t="s">
        <v>49</v>
      </c>
      <c r="I14" s="115" t="s">
        <v>49</v>
      </c>
      <c r="J14" s="115" t="s">
        <v>49</v>
      </c>
      <c r="K14" s="115" t="s">
        <v>49</v>
      </c>
      <c r="L14" s="115" t="s">
        <v>49</v>
      </c>
      <c r="M14" s="114"/>
      <c r="N14" s="116"/>
      <c r="O14" s="113"/>
      <c r="P14" s="114"/>
      <c r="Q14" s="145" t="s">
        <v>71</v>
      </c>
      <c r="R14" s="146" t="s">
        <v>71</v>
      </c>
      <c r="S14" s="118">
        <f>$F$37</f>
        <v>136</v>
      </c>
      <c r="T14" s="138">
        <f>IF(H14="x",$S14*Percentages!C$18, 0)</f>
        <v>5.1680000000000001</v>
      </c>
      <c r="U14" s="139">
        <f>IF(I14="x",$S14*Percentages!D$18, 0)</f>
        <v>8.5679999999999996</v>
      </c>
      <c r="V14" s="139">
        <f>IF(J14="x",$S14*Percentages!E$18, 0)</f>
        <v>22.984000000000002</v>
      </c>
      <c r="W14" s="139">
        <f>IF(K14="x",$S14*Percentages!F$18, 0)</f>
        <v>49.911999999999999</v>
      </c>
      <c r="X14" s="139">
        <f>IF(L14="x",$S14*Percentages!G$18, 0)</f>
        <v>49.911999999999999</v>
      </c>
      <c r="Y14" s="139">
        <f>IF(M14="x",$S14*Percentages!H$17, 0)</f>
        <v>0</v>
      </c>
      <c r="Z14" s="140">
        <f>IF(N14="x",$S14*Percentages!I$17, 0)</f>
        <v>0</v>
      </c>
    </row>
    <row r="15" spans="2:26" s="28" customFormat="1" x14ac:dyDescent="0.25">
      <c r="B15" s="107">
        <v>43831</v>
      </c>
      <c r="C15" s="108">
        <v>0.375</v>
      </c>
      <c r="D15" s="121" t="s">
        <v>68</v>
      </c>
      <c r="E15" s="122" t="s">
        <v>72</v>
      </c>
      <c r="F15" s="123" t="s">
        <v>65</v>
      </c>
      <c r="G15" s="124" t="s">
        <v>70</v>
      </c>
      <c r="H15" s="125" t="s">
        <v>49</v>
      </c>
      <c r="I15" s="126" t="s">
        <v>49</v>
      </c>
      <c r="J15" s="126" t="s">
        <v>49</v>
      </c>
      <c r="K15" s="126" t="s">
        <v>49</v>
      </c>
      <c r="L15" s="126" t="s">
        <v>49</v>
      </c>
      <c r="M15" s="114"/>
      <c r="N15" s="116"/>
      <c r="O15" s="113"/>
      <c r="P15" s="114"/>
      <c r="Q15" s="126" t="s">
        <v>49</v>
      </c>
      <c r="R15" s="127" t="s">
        <v>49</v>
      </c>
      <c r="S15" s="128">
        <f>$F$38</f>
        <v>68</v>
      </c>
      <c r="T15" s="129">
        <f>IF(H15="x",$S15*Percentages!C$18, 0)</f>
        <v>2.5840000000000001</v>
      </c>
      <c r="U15" s="130">
        <f>IF(I15="x",$S15*Percentages!D$18, 0)</f>
        <v>4.2839999999999998</v>
      </c>
      <c r="V15" s="130">
        <f>IF(J15="x",$S15*Percentages!E$18, 0)</f>
        <v>11.492000000000001</v>
      </c>
      <c r="W15" s="130">
        <f>IF(K15="x",$S15*Percentages!F$18, 0)</f>
        <v>24.956</v>
      </c>
      <c r="X15" s="130">
        <f>IF(L15="x",$S15*Percentages!G$18, 0)</f>
        <v>24.956</v>
      </c>
      <c r="Y15" s="130">
        <f>IF(M15="x",$S15*Percentages!H$17, 0)</f>
        <v>0</v>
      </c>
      <c r="Z15" s="131">
        <f>IF(N15="x",$S15*Percentages!I$17, 0)</f>
        <v>0</v>
      </c>
    </row>
    <row r="16" spans="2:26" s="28" customFormat="1" x14ac:dyDescent="0.25">
      <c r="B16" s="179">
        <v>43834</v>
      </c>
      <c r="C16" s="180">
        <v>0.625</v>
      </c>
      <c r="D16" s="178" t="s">
        <v>68</v>
      </c>
      <c r="E16" s="178" t="s">
        <v>78</v>
      </c>
      <c r="F16" s="123" t="s">
        <v>65</v>
      </c>
      <c r="G16" s="124" t="s">
        <v>70</v>
      </c>
      <c r="H16" s="125" t="s">
        <v>49</v>
      </c>
      <c r="I16" s="126" t="s">
        <v>49</v>
      </c>
      <c r="J16" s="126" t="s">
        <v>49</v>
      </c>
      <c r="K16" s="126" t="s">
        <v>49</v>
      </c>
      <c r="L16" s="126" t="s">
        <v>49</v>
      </c>
      <c r="M16" s="114"/>
      <c r="N16" s="116"/>
      <c r="O16" s="113"/>
      <c r="P16" s="114"/>
      <c r="Q16" s="126"/>
      <c r="R16" s="127"/>
      <c r="S16" s="128">
        <f>$F$38</f>
        <v>68</v>
      </c>
      <c r="T16" s="129">
        <f>IF(H16="x",$S16*Percentages!C$18, 0)</f>
        <v>2.5840000000000001</v>
      </c>
      <c r="U16" s="130">
        <f>IF(I16="x",$S16*Percentages!D$18, 0)</f>
        <v>4.2839999999999998</v>
      </c>
      <c r="V16" s="130">
        <f>IF(J16="x",$S16*Percentages!E$18, 0)</f>
        <v>11.492000000000001</v>
      </c>
      <c r="W16" s="130">
        <f>IF(K16="x",$S16*Percentages!F$18, 0)</f>
        <v>24.956</v>
      </c>
      <c r="X16" s="130">
        <f>IF(L16="x",$S16*Percentages!G$18, 0)</f>
        <v>24.956</v>
      </c>
      <c r="Y16" s="130">
        <f>IF(M16="x",$S16*Percentages!H$17, 0)</f>
        <v>0</v>
      </c>
      <c r="Z16" s="131">
        <f>IF(N16="x",$S16*Percentages!I$17, 0)</f>
        <v>0</v>
      </c>
    </row>
    <row r="17" spans="2:26" s="28" customFormat="1" x14ac:dyDescent="0.25">
      <c r="B17" s="179">
        <v>43837</v>
      </c>
      <c r="C17" s="180">
        <v>0.91666666666666663</v>
      </c>
      <c r="D17" s="178" t="s">
        <v>68</v>
      </c>
      <c r="E17" s="178" t="s">
        <v>78</v>
      </c>
      <c r="F17" s="123" t="s">
        <v>65</v>
      </c>
      <c r="G17" s="124" t="s">
        <v>70</v>
      </c>
      <c r="H17" s="125" t="s">
        <v>49</v>
      </c>
      <c r="I17" s="126" t="s">
        <v>49</v>
      </c>
      <c r="J17" s="126" t="s">
        <v>49</v>
      </c>
      <c r="K17" s="126" t="s">
        <v>49</v>
      </c>
      <c r="L17" s="126" t="s">
        <v>49</v>
      </c>
      <c r="M17" s="126"/>
      <c r="N17" s="127"/>
      <c r="O17" s="125"/>
      <c r="P17" s="144"/>
      <c r="Q17" s="126"/>
      <c r="R17" s="127"/>
      <c r="S17" s="128">
        <f>$F$38</f>
        <v>68</v>
      </c>
      <c r="T17" s="129">
        <f>IF(H17="x",$S17*Percentages!C$18, 0)</f>
        <v>2.5840000000000001</v>
      </c>
      <c r="U17" s="130">
        <f>IF(I17="x",$S17*Percentages!D$18, 0)</f>
        <v>4.2839999999999998</v>
      </c>
      <c r="V17" s="130">
        <f>IF(J17="x",$S17*Percentages!E$18, 0)</f>
        <v>11.492000000000001</v>
      </c>
      <c r="W17" s="130">
        <f>IF(K17="x",$S17*Percentages!F$18, 0)</f>
        <v>24.956</v>
      </c>
      <c r="X17" s="130">
        <f>IF(L17="x",$S17*Percentages!G$18, 0)</f>
        <v>24.956</v>
      </c>
      <c r="Y17" s="130">
        <f>IF(M17="x",$S17*Percentages!H$17, 0)</f>
        <v>0</v>
      </c>
      <c r="Z17" s="131">
        <f>IF(N17="x",$S17*Percentages!I$17, 0)</f>
        <v>0</v>
      </c>
    </row>
    <row r="18" spans="2:26" s="28" customFormat="1" x14ac:dyDescent="0.25">
      <c r="B18" s="179">
        <v>43839</v>
      </c>
      <c r="C18" s="180">
        <v>0.66666666666666663</v>
      </c>
      <c r="D18" s="178" t="s">
        <v>68</v>
      </c>
      <c r="E18" s="178" t="s">
        <v>78</v>
      </c>
      <c r="F18" s="123" t="s">
        <v>65</v>
      </c>
      <c r="G18" s="124" t="s">
        <v>70</v>
      </c>
      <c r="H18" s="125" t="s">
        <v>49</v>
      </c>
      <c r="I18" s="126" t="s">
        <v>49</v>
      </c>
      <c r="J18" s="126" t="s">
        <v>49</v>
      </c>
      <c r="K18" s="126" t="s">
        <v>49</v>
      </c>
      <c r="L18" s="126" t="s">
        <v>49</v>
      </c>
      <c r="M18" s="114"/>
      <c r="N18" s="116"/>
      <c r="O18" s="113"/>
      <c r="P18" s="114"/>
      <c r="Q18" s="126"/>
      <c r="R18" s="127"/>
      <c r="S18" s="128">
        <f>$F$38</f>
        <v>68</v>
      </c>
      <c r="T18" s="129">
        <f>IF(H18="x",$S18*Percentages!C$18, 0)</f>
        <v>2.5840000000000001</v>
      </c>
      <c r="U18" s="130">
        <f>IF(I18="x",$S18*Percentages!D$18, 0)</f>
        <v>4.2839999999999998</v>
      </c>
      <c r="V18" s="130">
        <f>IF(J18="x",$S18*Percentages!E$18, 0)</f>
        <v>11.492000000000001</v>
      </c>
      <c r="W18" s="130">
        <f>IF(K18="x",$S18*Percentages!F$18, 0)</f>
        <v>24.956</v>
      </c>
      <c r="X18" s="130">
        <f>IF(L18="x",$S18*Percentages!G$18, 0)</f>
        <v>24.956</v>
      </c>
      <c r="Y18" s="130">
        <f>IF(M18="x",$S18*Percentages!H$17, 0)</f>
        <v>0</v>
      </c>
      <c r="Z18" s="131">
        <f>IF(N18="x",$S18*Percentages!I$17, 0)</f>
        <v>0</v>
      </c>
    </row>
    <row r="19" spans="2:26" s="28" customFormat="1" x14ac:dyDescent="0.25">
      <c r="B19" s="169">
        <v>43844</v>
      </c>
      <c r="C19" s="170">
        <v>0.60416666666666663</v>
      </c>
      <c r="D19" s="171" t="s">
        <v>68</v>
      </c>
      <c r="E19" s="171" t="s">
        <v>69</v>
      </c>
      <c r="F19" s="111" t="s">
        <v>65</v>
      </c>
      <c r="G19" s="112" t="s">
        <v>70</v>
      </c>
      <c r="H19" s="141" t="s">
        <v>49</v>
      </c>
      <c r="I19" s="115" t="s">
        <v>49</v>
      </c>
      <c r="J19" s="115" t="s">
        <v>49</v>
      </c>
      <c r="K19" s="115" t="s">
        <v>49</v>
      </c>
      <c r="L19" s="115" t="s">
        <v>49</v>
      </c>
      <c r="M19" s="114"/>
      <c r="N19" s="116"/>
      <c r="O19" s="113"/>
      <c r="P19" s="114"/>
      <c r="Q19" s="145" t="s">
        <v>71</v>
      </c>
      <c r="R19" s="146" t="s">
        <v>71</v>
      </c>
      <c r="S19" s="118">
        <f>$F$37</f>
        <v>136</v>
      </c>
      <c r="T19" s="138">
        <f>IF(H19="x",$S19*Percentages!C$18, 0)</f>
        <v>5.1680000000000001</v>
      </c>
      <c r="U19" s="139">
        <f>IF(I19="x",$S19*Percentages!D$18, 0)</f>
        <v>8.5679999999999996</v>
      </c>
      <c r="V19" s="139">
        <f>IF(J19="x",$S19*Percentages!E$18, 0)</f>
        <v>22.984000000000002</v>
      </c>
      <c r="W19" s="139">
        <f>IF(K19="x",$S19*Percentages!F$18, 0)</f>
        <v>49.911999999999999</v>
      </c>
      <c r="X19" s="139">
        <f>IF(L19="x",$S19*Percentages!G$18, 0)</f>
        <v>49.911999999999999</v>
      </c>
      <c r="Y19" s="139">
        <f>IF(M19="x",$S19*Percentages!H$17, 0)</f>
        <v>0</v>
      </c>
      <c r="Z19" s="140">
        <f>IF(N19="x",$S19*Percentages!I$17, 0)</f>
        <v>0</v>
      </c>
    </row>
    <row r="20" spans="2:26" s="28" customFormat="1" x14ac:dyDescent="0.25">
      <c r="B20" s="166">
        <v>43846</v>
      </c>
      <c r="C20" s="167">
        <v>0.625</v>
      </c>
      <c r="D20" s="168" t="s">
        <v>68</v>
      </c>
      <c r="E20" s="168" t="s">
        <v>77</v>
      </c>
      <c r="F20" s="123" t="s">
        <v>65</v>
      </c>
      <c r="G20" s="124" t="s">
        <v>70</v>
      </c>
      <c r="H20" s="125" t="s">
        <v>49</v>
      </c>
      <c r="I20" s="126" t="s">
        <v>49</v>
      </c>
      <c r="J20" s="126" t="s">
        <v>49</v>
      </c>
      <c r="K20" s="126" t="s">
        <v>49</v>
      </c>
      <c r="L20" s="126" t="s">
        <v>49</v>
      </c>
      <c r="M20" s="126"/>
      <c r="N20" s="127"/>
      <c r="O20" s="125"/>
      <c r="P20" s="126"/>
      <c r="Q20" s="126"/>
      <c r="R20" s="127"/>
      <c r="S20" s="128">
        <f>$F$38</f>
        <v>68</v>
      </c>
      <c r="T20" s="129">
        <f>IF(H20="x",$S20*Percentages!C$18, 0)</f>
        <v>2.5840000000000001</v>
      </c>
      <c r="U20" s="130">
        <f>IF(I20="x",$S20*Percentages!D$18, 0)</f>
        <v>4.2839999999999998</v>
      </c>
      <c r="V20" s="130">
        <f>IF(J20="x",$S20*Percentages!E$18, 0)</f>
        <v>11.492000000000001</v>
      </c>
      <c r="W20" s="130">
        <f>IF(K20="x",$S20*Percentages!F$18, 0)</f>
        <v>24.956</v>
      </c>
      <c r="X20" s="130">
        <f>IF(L20="x",$S20*Percentages!G$18, 0)</f>
        <v>24.956</v>
      </c>
      <c r="Y20" s="130">
        <f>IF(M20="x",$S20*Percentages!H$17, 0)</f>
        <v>0</v>
      </c>
      <c r="Z20" s="131">
        <f>IF(N20="x",$S20*Percentages!I$17, 0)</f>
        <v>0</v>
      </c>
    </row>
    <row r="21" spans="2:26" s="28" customFormat="1" x14ac:dyDescent="0.25">
      <c r="B21" s="107">
        <v>43846</v>
      </c>
      <c r="C21" s="108">
        <v>0.83333333333333337</v>
      </c>
      <c r="D21" s="121" t="s">
        <v>68</v>
      </c>
      <c r="E21" s="121" t="s">
        <v>69</v>
      </c>
      <c r="F21" s="111" t="s">
        <v>65</v>
      </c>
      <c r="G21" s="112" t="s">
        <v>70</v>
      </c>
      <c r="H21" s="141" t="s">
        <v>49</v>
      </c>
      <c r="I21" s="115" t="s">
        <v>49</v>
      </c>
      <c r="J21" s="115" t="s">
        <v>49</v>
      </c>
      <c r="K21" s="115" t="s">
        <v>49</v>
      </c>
      <c r="L21" s="115" t="s">
        <v>49</v>
      </c>
      <c r="M21" s="114"/>
      <c r="N21" s="116"/>
      <c r="O21" s="113"/>
      <c r="P21" s="114"/>
      <c r="Q21" s="147" t="s">
        <v>49</v>
      </c>
      <c r="R21" s="148" t="s">
        <v>49</v>
      </c>
      <c r="S21" s="118">
        <f>$F$37</f>
        <v>136</v>
      </c>
      <c r="T21" s="138">
        <f>IF(H21="x",$S21*Percentages!C$18, 0)</f>
        <v>5.1680000000000001</v>
      </c>
      <c r="U21" s="139">
        <f>IF(I21="x",$S21*Percentages!D$18, 0)</f>
        <v>8.5679999999999996</v>
      </c>
      <c r="V21" s="139">
        <f>IF(J21="x",$S21*Percentages!E$18, 0)</f>
        <v>22.984000000000002</v>
      </c>
      <c r="W21" s="139">
        <f>IF(K21="x",$S21*Percentages!F$18, 0)</f>
        <v>49.911999999999999</v>
      </c>
      <c r="X21" s="139">
        <f>IF(L21="x",$S21*Percentages!G$18, 0)</f>
        <v>49.911999999999999</v>
      </c>
      <c r="Y21" s="139">
        <f>IF(M21="x",$S21*Percentages!H$17, 0)</f>
        <v>0</v>
      </c>
      <c r="Z21" s="140">
        <f>IF(N21="x",$S21*Percentages!I$17, 0)</f>
        <v>0</v>
      </c>
    </row>
    <row r="22" spans="2:26" s="28" customFormat="1" x14ac:dyDescent="0.25">
      <c r="B22" s="107">
        <v>43847</v>
      </c>
      <c r="C22" s="108">
        <v>0.39583333333333331</v>
      </c>
      <c r="D22" s="121" t="s">
        <v>68</v>
      </c>
      <c r="E22" s="122" t="s">
        <v>72</v>
      </c>
      <c r="F22" s="123" t="s">
        <v>65</v>
      </c>
      <c r="G22" s="124" t="s">
        <v>70</v>
      </c>
      <c r="H22" s="125" t="s">
        <v>49</v>
      </c>
      <c r="I22" s="126" t="s">
        <v>49</v>
      </c>
      <c r="J22" s="126" t="s">
        <v>49</v>
      </c>
      <c r="K22" s="126" t="s">
        <v>49</v>
      </c>
      <c r="L22" s="126" t="s">
        <v>49</v>
      </c>
      <c r="M22" s="114"/>
      <c r="N22" s="116"/>
      <c r="O22" s="113"/>
      <c r="P22" s="114"/>
      <c r="Q22" s="126" t="s">
        <v>49</v>
      </c>
      <c r="R22" s="127" t="s">
        <v>49</v>
      </c>
      <c r="S22" s="128">
        <f>$F$38</f>
        <v>68</v>
      </c>
      <c r="T22" s="129">
        <f>IF(H22="x",$S22*Percentages!C$18, 0)</f>
        <v>2.5840000000000001</v>
      </c>
      <c r="U22" s="130">
        <f>IF(I22="x",$S22*Percentages!D$18, 0)</f>
        <v>4.2839999999999998</v>
      </c>
      <c r="V22" s="130">
        <f>IF(J22="x",$S22*Percentages!E$18, 0)</f>
        <v>11.492000000000001</v>
      </c>
      <c r="W22" s="130">
        <f>IF(K22="x",$S22*Percentages!F$18, 0)</f>
        <v>24.956</v>
      </c>
      <c r="X22" s="130">
        <f>IF(L22="x",$S22*Percentages!G$18, 0)</f>
        <v>24.956</v>
      </c>
      <c r="Y22" s="130">
        <f>IF(M22="x",$S22*Percentages!H$17, 0)</f>
        <v>0</v>
      </c>
      <c r="Z22" s="131">
        <f>IF(N22="x",$S22*Percentages!I$17, 0)</f>
        <v>0</v>
      </c>
    </row>
    <row r="23" spans="2:26" s="28" customFormat="1" x14ac:dyDescent="0.25">
      <c r="B23" s="107">
        <v>43849</v>
      </c>
      <c r="C23" s="108">
        <v>0.83333333333333337</v>
      </c>
      <c r="D23" s="121" t="s">
        <v>68</v>
      </c>
      <c r="E23" s="121" t="s">
        <v>69</v>
      </c>
      <c r="F23" s="111" t="s">
        <v>65</v>
      </c>
      <c r="G23" s="112" t="s">
        <v>70</v>
      </c>
      <c r="H23" s="141" t="s">
        <v>49</v>
      </c>
      <c r="I23" s="115" t="s">
        <v>49</v>
      </c>
      <c r="J23" s="115" t="s">
        <v>49</v>
      </c>
      <c r="K23" s="115" t="s">
        <v>49</v>
      </c>
      <c r="L23" s="115" t="s">
        <v>49</v>
      </c>
      <c r="M23" s="114"/>
      <c r="N23" s="116"/>
      <c r="O23" s="113"/>
      <c r="P23" s="114"/>
      <c r="Q23" s="147" t="s">
        <v>49</v>
      </c>
      <c r="R23" s="148" t="s">
        <v>49</v>
      </c>
      <c r="S23" s="118">
        <f>$F$37</f>
        <v>136</v>
      </c>
      <c r="T23" s="138">
        <f>IF(H23="x",$S23*Percentages!C$18, 0)</f>
        <v>5.1680000000000001</v>
      </c>
      <c r="U23" s="139">
        <f>IF(I23="x",$S23*Percentages!D$18, 0)</f>
        <v>8.5679999999999996</v>
      </c>
      <c r="V23" s="139">
        <f>IF(J23="x",$S23*Percentages!E$18, 0)</f>
        <v>22.984000000000002</v>
      </c>
      <c r="W23" s="139">
        <f>IF(K23="x",$S23*Percentages!F$18, 0)</f>
        <v>49.911999999999999</v>
      </c>
      <c r="X23" s="139">
        <f>IF(L23="x",$S23*Percentages!G$18, 0)</f>
        <v>49.911999999999999</v>
      </c>
      <c r="Y23" s="139">
        <f>IF(M23="x",$S23*Percentages!H$17, 0)</f>
        <v>0</v>
      </c>
      <c r="Z23" s="140">
        <f>IF(N23="x",$S23*Percentages!I$17, 0)</f>
        <v>0</v>
      </c>
    </row>
    <row r="24" spans="2:26" s="28" customFormat="1" x14ac:dyDescent="0.25">
      <c r="B24" s="179">
        <v>43850</v>
      </c>
      <c r="C24" s="180">
        <v>0.375</v>
      </c>
      <c r="D24" s="178" t="s">
        <v>68</v>
      </c>
      <c r="E24" s="178" t="s">
        <v>72</v>
      </c>
      <c r="F24" s="123" t="s">
        <v>65</v>
      </c>
      <c r="G24" s="124" t="s">
        <v>70</v>
      </c>
      <c r="H24" s="125" t="s">
        <v>49</v>
      </c>
      <c r="I24" s="126" t="s">
        <v>49</v>
      </c>
      <c r="J24" s="126" t="s">
        <v>49</v>
      </c>
      <c r="K24" s="126" t="s">
        <v>49</v>
      </c>
      <c r="L24" s="126" t="s">
        <v>49</v>
      </c>
      <c r="M24" s="114"/>
      <c r="N24" s="116"/>
      <c r="O24" s="113"/>
      <c r="P24" s="114"/>
      <c r="Q24" s="126" t="s">
        <v>49</v>
      </c>
      <c r="R24" s="127" t="s">
        <v>49</v>
      </c>
      <c r="S24" s="128">
        <f>$F$38</f>
        <v>68</v>
      </c>
      <c r="T24" s="129">
        <f>IF(H24="x",$S24*Percentages!C$18, 0)</f>
        <v>2.5840000000000001</v>
      </c>
      <c r="U24" s="130">
        <f>IF(I24="x",$S24*Percentages!D$18, 0)</f>
        <v>4.2839999999999998</v>
      </c>
      <c r="V24" s="130">
        <f>IF(J24="x",$S24*Percentages!E$18, 0)</f>
        <v>11.492000000000001</v>
      </c>
      <c r="W24" s="130">
        <f>IF(K24="x",$S24*Percentages!F$18, 0)</f>
        <v>24.956</v>
      </c>
      <c r="X24" s="130">
        <f>IF(L24="x",$S24*Percentages!G$18, 0)</f>
        <v>24.956</v>
      </c>
      <c r="Y24" s="130">
        <f>IF(M24="x",$S24*Percentages!H$17, 0)</f>
        <v>0</v>
      </c>
      <c r="Z24" s="131">
        <f>IF(N24="x",$S24*Percentages!I$17, 0)</f>
        <v>0</v>
      </c>
    </row>
    <row r="25" spans="2:26" s="28" customFormat="1" x14ac:dyDescent="0.25">
      <c r="B25" s="166">
        <v>43867</v>
      </c>
      <c r="C25" s="167">
        <v>0.6875</v>
      </c>
      <c r="D25" s="168" t="s">
        <v>68</v>
      </c>
      <c r="E25" s="168" t="s">
        <v>69</v>
      </c>
      <c r="F25" s="111" t="s">
        <v>65</v>
      </c>
      <c r="G25" s="112" t="s">
        <v>70</v>
      </c>
      <c r="H25" s="141" t="s">
        <v>49</v>
      </c>
      <c r="I25" s="115" t="s">
        <v>49</v>
      </c>
      <c r="J25" s="115" t="s">
        <v>49</v>
      </c>
      <c r="K25" s="115" t="s">
        <v>49</v>
      </c>
      <c r="L25" s="115" t="s">
        <v>49</v>
      </c>
      <c r="M25" s="126"/>
      <c r="N25" s="127"/>
      <c r="O25" s="125"/>
      <c r="P25" s="126"/>
      <c r="Q25" s="149"/>
      <c r="R25" s="148" t="s">
        <v>49</v>
      </c>
      <c r="S25" s="118">
        <f>$F$37</f>
        <v>136</v>
      </c>
      <c r="T25" s="138">
        <f>IF(H25="x",$S25*Percentages!C$18, 0)</f>
        <v>5.1680000000000001</v>
      </c>
      <c r="U25" s="139">
        <f>IF(I25="x",$S25*Percentages!D$18, 0)</f>
        <v>8.5679999999999996</v>
      </c>
      <c r="V25" s="139">
        <f>IF(J25="x",$S25*Percentages!E$18, 0)</f>
        <v>22.984000000000002</v>
      </c>
      <c r="W25" s="139">
        <f>IF(K25="x",$S25*Percentages!F$18, 0)</f>
        <v>49.911999999999999</v>
      </c>
      <c r="X25" s="139">
        <f>IF(L25="x",$S25*Percentages!G$18, 0)</f>
        <v>49.911999999999999</v>
      </c>
      <c r="Y25" s="139">
        <f>IF(M25="x",$S25*Percentages!H$17, 0)</f>
        <v>0</v>
      </c>
      <c r="Z25" s="140">
        <f>IF(N25="x",$S25*Percentages!I$17, 0)</f>
        <v>0</v>
      </c>
    </row>
    <row r="26" spans="2:26" s="28" customFormat="1" x14ac:dyDescent="0.25">
      <c r="B26" s="107">
        <v>43868</v>
      </c>
      <c r="C26" s="108">
        <v>0.41666666666666669</v>
      </c>
      <c r="D26" s="121" t="s">
        <v>68</v>
      </c>
      <c r="E26" s="122" t="s">
        <v>72</v>
      </c>
      <c r="F26" s="123" t="s">
        <v>65</v>
      </c>
      <c r="G26" s="124" t="s">
        <v>70</v>
      </c>
      <c r="H26" s="125" t="s">
        <v>49</v>
      </c>
      <c r="I26" s="126" t="s">
        <v>49</v>
      </c>
      <c r="J26" s="126" t="s">
        <v>49</v>
      </c>
      <c r="K26" s="126" t="s">
        <v>49</v>
      </c>
      <c r="L26" s="126" t="s">
        <v>49</v>
      </c>
      <c r="M26" s="126"/>
      <c r="N26" s="127"/>
      <c r="O26" s="125"/>
      <c r="P26" s="126"/>
      <c r="Q26" s="147" t="s">
        <v>49</v>
      </c>
      <c r="R26" s="127" t="s">
        <v>49</v>
      </c>
      <c r="S26" s="128">
        <f>$F$38</f>
        <v>68</v>
      </c>
      <c r="T26" s="129">
        <f>IF(H26="x",$S26*Percentages!C$18, 0)</f>
        <v>2.5840000000000001</v>
      </c>
      <c r="U26" s="130">
        <f>IF(I26="x",$S26*Percentages!D$18, 0)</f>
        <v>4.2839999999999998</v>
      </c>
      <c r="V26" s="130">
        <f>IF(J26="x",$S26*Percentages!E$18, 0)</f>
        <v>11.492000000000001</v>
      </c>
      <c r="W26" s="130">
        <f>IF(K26="x",$S26*Percentages!F$18, 0)</f>
        <v>24.956</v>
      </c>
      <c r="X26" s="130">
        <f>IF(L26="x",$S26*Percentages!G$18, 0)</f>
        <v>24.956</v>
      </c>
      <c r="Y26" s="130">
        <f>IF(M26="x",$S26*Percentages!H$17, 0)</f>
        <v>0</v>
      </c>
      <c r="Z26" s="131">
        <f>IF(N26="x",$S26*Percentages!I$17, 0)</f>
        <v>0</v>
      </c>
    </row>
    <row r="27" spans="2:26" s="28" customFormat="1" x14ac:dyDescent="0.25">
      <c r="B27" s="107">
        <v>43868</v>
      </c>
      <c r="C27" s="108">
        <v>0.70833333333333337</v>
      </c>
      <c r="D27" s="121" t="s">
        <v>68</v>
      </c>
      <c r="E27" s="121" t="s">
        <v>79</v>
      </c>
      <c r="F27" s="111" t="s">
        <v>65</v>
      </c>
      <c r="G27" s="112" t="s">
        <v>70</v>
      </c>
      <c r="H27" s="141" t="s">
        <v>49</v>
      </c>
      <c r="I27" s="115" t="s">
        <v>49</v>
      </c>
      <c r="J27" s="115" t="s">
        <v>49</v>
      </c>
      <c r="K27" s="115" t="s">
        <v>49</v>
      </c>
      <c r="L27" s="115" t="s">
        <v>49</v>
      </c>
      <c r="M27" s="114"/>
      <c r="N27" s="116"/>
      <c r="O27" s="113"/>
      <c r="P27" s="114"/>
      <c r="Q27" s="126" t="s">
        <v>49</v>
      </c>
      <c r="R27" s="150"/>
      <c r="S27" s="118">
        <f>$F$37</f>
        <v>136</v>
      </c>
      <c r="T27" s="138">
        <f>IF(H27="x",$S27*Percentages!C$18, 0)</f>
        <v>5.1680000000000001</v>
      </c>
      <c r="U27" s="139">
        <f>IF(I27="x",$S27*Percentages!D$18, 0)</f>
        <v>8.5679999999999996</v>
      </c>
      <c r="V27" s="139">
        <f>IF(J27="x",$S27*Percentages!E$18, 0)</f>
        <v>22.984000000000002</v>
      </c>
      <c r="W27" s="139">
        <f>IF(K27="x",$S27*Percentages!F$18, 0)</f>
        <v>49.911999999999999</v>
      </c>
      <c r="X27" s="139">
        <f>IF(L27="x",$S27*Percentages!G$18, 0)</f>
        <v>49.911999999999999</v>
      </c>
      <c r="Y27" s="139">
        <f>IF(M27="x",$S27*Percentages!H$17, 0)</f>
        <v>0</v>
      </c>
      <c r="Z27" s="140">
        <f>IF(N27="x",$S27*Percentages!I$17, 0)</f>
        <v>0</v>
      </c>
    </row>
    <row r="28" spans="2:26" s="28" customFormat="1" x14ac:dyDescent="0.25">
      <c r="B28" s="166">
        <v>43874</v>
      </c>
      <c r="C28" s="167">
        <v>0.6875</v>
      </c>
      <c r="D28" s="168" t="s">
        <v>68</v>
      </c>
      <c r="E28" s="168" t="s">
        <v>69</v>
      </c>
      <c r="F28" s="111" t="s">
        <v>65</v>
      </c>
      <c r="G28" s="112" t="s">
        <v>70</v>
      </c>
      <c r="H28" s="141" t="s">
        <v>49</v>
      </c>
      <c r="I28" s="115" t="s">
        <v>49</v>
      </c>
      <c r="J28" s="115" t="s">
        <v>49</v>
      </c>
      <c r="K28" s="115" t="s">
        <v>49</v>
      </c>
      <c r="L28" s="115" t="s">
        <v>49</v>
      </c>
      <c r="M28" s="126"/>
      <c r="N28" s="127"/>
      <c r="O28" s="125"/>
      <c r="P28" s="126"/>
      <c r="Q28" s="149"/>
      <c r="R28" s="144" t="s">
        <v>71</v>
      </c>
      <c r="S28" s="118">
        <f>$F$37</f>
        <v>136</v>
      </c>
      <c r="T28" s="138">
        <f>IF(H28="x",$S28*Percentages!C$18, 0)</f>
        <v>5.1680000000000001</v>
      </c>
      <c r="U28" s="139">
        <f>IF(I28="x",$S28*Percentages!D$18, 0)</f>
        <v>8.5679999999999996</v>
      </c>
      <c r="V28" s="139">
        <f>IF(J28="x",$S28*Percentages!E$18, 0)</f>
        <v>22.984000000000002</v>
      </c>
      <c r="W28" s="139">
        <f>IF(K28="x",$S28*Percentages!F$18, 0)</f>
        <v>49.911999999999999</v>
      </c>
      <c r="X28" s="139">
        <f>IF(L28="x",$S28*Percentages!G$18, 0)</f>
        <v>49.911999999999999</v>
      </c>
      <c r="Y28" s="139">
        <f>IF(M28="x",$S28*Percentages!H$17, 0)</f>
        <v>0</v>
      </c>
      <c r="Z28" s="140">
        <f>IF(N28="x",$S28*Percentages!I$17, 0)</f>
        <v>0</v>
      </c>
    </row>
    <row r="29" spans="2:26" s="28" customFormat="1" x14ac:dyDescent="0.25">
      <c r="B29" s="107">
        <v>43875</v>
      </c>
      <c r="C29" s="108">
        <v>0.375</v>
      </c>
      <c r="D29" s="121" t="s">
        <v>68</v>
      </c>
      <c r="E29" s="122" t="s">
        <v>72</v>
      </c>
      <c r="F29" s="123" t="s">
        <v>65</v>
      </c>
      <c r="G29" s="124" t="s">
        <v>70</v>
      </c>
      <c r="H29" s="125" t="s">
        <v>49</v>
      </c>
      <c r="I29" s="126" t="s">
        <v>49</v>
      </c>
      <c r="J29" s="126" t="s">
        <v>49</v>
      </c>
      <c r="K29" s="126" t="s">
        <v>49</v>
      </c>
      <c r="L29" s="126" t="s">
        <v>49</v>
      </c>
      <c r="M29" s="126"/>
      <c r="N29" s="127"/>
      <c r="O29" s="125"/>
      <c r="P29" s="126"/>
      <c r="Q29" s="126" t="s">
        <v>49</v>
      </c>
      <c r="R29" s="127" t="s">
        <v>49</v>
      </c>
      <c r="S29" s="128">
        <f>$F$38</f>
        <v>68</v>
      </c>
      <c r="T29" s="129">
        <f>IF(H29="x",$S29*Percentages!C$18, 0)</f>
        <v>2.5840000000000001</v>
      </c>
      <c r="U29" s="130">
        <f>IF(I29="x",$S29*Percentages!D$18, 0)</f>
        <v>4.2839999999999998</v>
      </c>
      <c r="V29" s="130">
        <f>IF(J29="x",$S29*Percentages!E$18, 0)</f>
        <v>11.492000000000001</v>
      </c>
      <c r="W29" s="130">
        <f>IF(K29="x",$S29*Percentages!F$18, 0)</f>
        <v>24.956</v>
      </c>
      <c r="X29" s="130">
        <f>IF(L29="x",$S29*Percentages!G$18, 0)</f>
        <v>24.956</v>
      </c>
      <c r="Y29" s="130">
        <f>IF(M29="x",$S29*Percentages!H$17, 0)</f>
        <v>0</v>
      </c>
      <c r="Z29" s="131">
        <f>IF(N29="x",$S29*Percentages!I$17, 0)</f>
        <v>0</v>
      </c>
    </row>
    <row r="30" spans="2:26" s="28" customFormat="1" x14ac:dyDescent="0.25">
      <c r="B30" s="166">
        <v>43880</v>
      </c>
      <c r="C30" s="167">
        <v>0.69444444444444453</v>
      </c>
      <c r="D30" s="168" t="s">
        <v>68</v>
      </c>
      <c r="E30" s="168" t="s">
        <v>69</v>
      </c>
      <c r="F30" s="111" t="s">
        <v>65</v>
      </c>
      <c r="G30" s="112" t="s">
        <v>70</v>
      </c>
      <c r="H30" s="141" t="s">
        <v>49</v>
      </c>
      <c r="I30" s="115" t="s">
        <v>49</v>
      </c>
      <c r="J30" s="115" t="s">
        <v>49</v>
      </c>
      <c r="K30" s="115" t="s">
        <v>49</v>
      </c>
      <c r="L30" s="115" t="s">
        <v>49</v>
      </c>
      <c r="M30" s="126"/>
      <c r="N30" s="127"/>
      <c r="O30" s="125"/>
      <c r="P30" s="126"/>
      <c r="Q30" s="147" t="s">
        <v>49</v>
      </c>
      <c r="R30" s="148" t="s">
        <v>49</v>
      </c>
      <c r="S30" s="118">
        <f>$F$37</f>
        <v>136</v>
      </c>
      <c r="T30" s="138">
        <f>IF(H30="x",$S30*Percentages!C$18, 0)</f>
        <v>5.1680000000000001</v>
      </c>
      <c r="U30" s="139">
        <f>IF(I30="x",$S30*Percentages!D$18, 0)</f>
        <v>8.5679999999999996</v>
      </c>
      <c r="V30" s="139">
        <f>IF(J30="x",$S30*Percentages!E$18, 0)</f>
        <v>22.984000000000002</v>
      </c>
      <c r="W30" s="139">
        <f>IF(K30="x",$S30*Percentages!F$18, 0)</f>
        <v>49.911999999999999</v>
      </c>
      <c r="X30" s="139">
        <f>IF(L30="x",$S30*Percentages!G$18, 0)</f>
        <v>49.911999999999999</v>
      </c>
      <c r="Y30" s="139">
        <f>IF(M30="x",$S30*Percentages!H$17, 0)</f>
        <v>0</v>
      </c>
      <c r="Z30" s="140">
        <f>IF(N30="x",$S30*Percentages!I$17, 0)</f>
        <v>0</v>
      </c>
    </row>
    <row r="31" spans="2:26" s="28" customFormat="1" x14ac:dyDescent="0.25">
      <c r="B31" s="107">
        <v>43880</v>
      </c>
      <c r="C31" s="108">
        <v>0.9375</v>
      </c>
      <c r="D31" s="121" t="s">
        <v>68</v>
      </c>
      <c r="E31" s="122" t="s">
        <v>82</v>
      </c>
      <c r="F31" s="123" t="s">
        <v>65</v>
      </c>
      <c r="G31" s="124" t="s">
        <v>70</v>
      </c>
      <c r="H31" s="125" t="s">
        <v>49</v>
      </c>
      <c r="I31" s="126" t="s">
        <v>49</v>
      </c>
      <c r="J31" s="126" t="s">
        <v>49</v>
      </c>
      <c r="K31" s="126" t="s">
        <v>49</v>
      </c>
      <c r="L31" s="126" t="s">
        <v>49</v>
      </c>
      <c r="M31" s="126"/>
      <c r="N31" s="127"/>
      <c r="O31" s="125"/>
      <c r="P31" s="126"/>
      <c r="Q31" s="126"/>
      <c r="R31" s="127"/>
      <c r="S31" s="128">
        <f>$F$38</f>
        <v>68</v>
      </c>
      <c r="T31" s="129">
        <f>IF(H31="x",$S31*Percentages!C$18, 0)</f>
        <v>2.5840000000000001</v>
      </c>
      <c r="U31" s="130">
        <f>IF(I31="x",$S31*Percentages!D$18, 0)</f>
        <v>4.2839999999999998</v>
      </c>
      <c r="V31" s="130">
        <f>IF(J31="x",$S31*Percentages!E$18, 0)</f>
        <v>11.492000000000001</v>
      </c>
      <c r="W31" s="130">
        <f>IF(K31="x",$S31*Percentages!F$18, 0)</f>
        <v>24.956</v>
      </c>
      <c r="X31" s="130">
        <f>IF(L31="x",$S31*Percentages!G$18, 0)</f>
        <v>24.956</v>
      </c>
      <c r="Y31" s="130">
        <f>IF(M31="x",$S31*Percentages!H$17, 0)</f>
        <v>0</v>
      </c>
      <c r="Z31" s="131">
        <f>IF(N31="x",$S31*Percentages!I$17, 0)</f>
        <v>0</v>
      </c>
    </row>
    <row r="32" spans="2:26" s="28" customFormat="1" x14ac:dyDescent="0.25">
      <c r="B32" s="107">
        <v>43881</v>
      </c>
      <c r="C32" s="108">
        <v>0.27083333333333331</v>
      </c>
      <c r="D32" s="121" t="s">
        <v>68</v>
      </c>
      <c r="E32" s="122" t="s">
        <v>78</v>
      </c>
      <c r="F32" s="123" t="s">
        <v>65</v>
      </c>
      <c r="G32" s="124" t="s">
        <v>70</v>
      </c>
      <c r="H32" s="125" t="s">
        <v>49</v>
      </c>
      <c r="I32" s="126" t="s">
        <v>49</v>
      </c>
      <c r="J32" s="126" t="s">
        <v>49</v>
      </c>
      <c r="K32" s="126" t="s">
        <v>49</v>
      </c>
      <c r="L32" s="126" t="s">
        <v>49</v>
      </c>
      <c r="M32" s="126"/>
      <c r="N32" s="127"/>
      <c r="O32" s="125"/>
      <c r="P32" s="126"/>
      <c r="Q32" s="126" t="s">
        <v>49</v>
      </c>
      <c r="R32" s="127" t="s">
        <v>49</v>
      </c>
      <c r="S32" s="128">
        <f>$F$38</f>
        <v>68</v>
      </c>
      <c r="T32" s="129">
        <f>IF(H32="x",$S32*Percentages!C$18, 0)</f>
        <v>2.5840000000000001</v>
      </c>
      <c r="U32" s="130">
        <f>IF(I32="x",$S32*Percentages!D$18, 0)</f>
        <v>4.2839999999999998</v>
      </c>
      <c r="V32" s="130">
        <f>IF(J32="x",$S32*Percentages!E$18, 0)</f>
        <v>11.492000000000001</v>
      </c>
      <c r="W32" s="130">
        <f>IF(K32="x",$S32*Percentages!F$18, 0)</f>
        <v>24.956</v>
      </c>
      <c r="X32" s="130">
        <f>IF(L32="x",$S32*Percentages!G$18, 0)</f>
        <v>24.956</v>
      </c>
      <c r="Y32" s="130">
        <f>IF(M32="x",$S32*Percentages!H$17, 0)</f>
        <v>0</v>
      </c>
      <c r="Z32" s="131">
        <f>IF(N32="x",$S32*Percentages!I$17, 0)</f>
        <v>0</v>
      </c>
    </row>
    <row r="33" spans="1:26" s="28" customFormat="1" x14ac:dyDescent="0.25">
      <c r="B33" s="107">
        <v>43881</v>
      </c>
      <c r="C33" s="108">
        <v>0.5</v>
      </c>
      <c r="D33" s="121" t="s">
        <v>68</v>
      </c>
      <c r="E33" s="122" t="s">
        <v>97</v>
      </c>
      <c r="F33" s="123" t="s">
        <v>65</v>
      </c>
      <c r="G33" s="124" t="s">
        <v>70</v>
      </c>
      <c r="H33" s="125"/>
      <c r="I33" s="126"/>
      <c r="J33" s="126"/>
      <c r="K33" s="126"/>
      <c r="L33" s="126" t="s">
        <v>49</v>
      </c>
      <c r="M33" s="126"/>
      <c r="N33" s="127"/>
      <c r="O33" s="125"/>
      <c r="P33" s="126"/>
      <c r="Q33" s="126"/>
      <c r="R33" s="127"/>
      <c r="S33" s="128">
        <f>$F$38</f>
        <v>68</v>
      </c>
      <c r="T33" s="129">
        <f>IF(H33="x",$S33*Percentages!C$18, 0)</f>
        <v>0</v>
      </c>
      <c r="U33" s="130">
        <f>IF(I33="x",$S33*Percentages!D$18, 0)</f>
        <v>0</v>
      </c>
      <c r="V33" s="130">
        <f>IF(J33="x",$S33*Percentages!E$18, 0)</f>
        <v>0</v>
      </c>
      <c r="W33" s="130">
        <f>IF(K33="x",$S33*Percentages!F$18, 0)</f>
        <v>0</v>
      </c>
      <c r="X33" s="130">
        <f>IF(L33="x",$S33*Percentages!G$18, 0)</f>
        <v>24.956</v>
      </c>
      <c r="Y33" s="130">
        <f>IF(M33="x",$S33*Percentages!H$17, 0)</f>
        <v>0</v>
      </c>
      <c r="Z33" s="131">
        <f>IF(N33="x",$S33*Percentages!I$17, 0)</f>
        <v>0</v>
      </c>
    </row>
    <row r="34" spans="1:26" x14ac:dyDescent="0.25">
      <c r="A34" s="28"/>
      <c r="B34" s="107"/>
      <c r="C34" s="108"/>
      <c r="D34" s="121"/>
      <c r="E34" s="122"/>
      <c r="F34" s="123"/>
      <c r="G34" s="124"/>
      <c r="H34" s="125"/>
      <c r="I34" s="126"/>
      <c r="J34" s="126"/>
      <c r="K34" s="126"/>
      <c r="L34" s="126"/>
      <c r="M34" s="126"/>
      <c r="N34" s="127"/>
      <c r="O34" s="125"/>
      <c r="P34" s="144"/>
      <c r="Q34" s="144"/>
      <c r="R34" s="127"/>
      <c r="S34" s="128"/>
      <c r="T34" s="118">
        <f>$S34*Percentages!C$18</f>
        <v>0</v>
      </c>
      <c r="U34" s="119">
        <f>$S34*Percentages!D$18</f>
        <v>0</v>
      </c>
      <c r="V34" s="119">
        <f>$S34*Percentages!E$18</f>
        <v>0</v>
      </c>
      <c r="W34" s="119">
        <f>$S34*Percentages!F$18</f>
        <v>0</v>
      </c>
      <c r="X34" s="119">
        <f>$S34*Percentages!G$18</f>
        <v>0</v>
      </c>
      <c r="Y34" s="119">
        <f>$S34*Percentages!H$17</f>
        <v>0</v>
      </c>
      <c r="Z34" s="120">
        <f>$S34*Percentages!I$17</f>
        <v>0</v>
      </c>
    </row>
    <row r="35" spans="1:26" ht="6.45" customHeight="1" x14ac:dyDescent="0.25">
      <c r="S35" s="105"/>
      <c r="T35" s="106"/>
      <c r="U35" s="18"/>
      <c r="V35" s="18"/>
      <c r="W35" s="18"/>
      <c r="X35" s="18"/>
      <c r="Y35" s="18"/>
      <c r="Z35" s="68"/>
    </row>
    <row r="36" spans="1:26" x14ac:dyDescent="0.25">
      <c r="S36" s="37">
        <f t="shared" ref="S36:Z36" si="0">ROUND(SUM(S5:S35), 0)</f>
        <v>2584</v>
      </c>
      <c r="T36" s="35">
        <f t="shared" si="0"/>
        <v>96</v>
      </c>
      <c r="U36" s="36">
        <f t="shared" si="0"/>
        <v>159</v>
      </c>
      <c r="V36" s="36">
        <f t="shared" si="0"/>
        <v>425</v>
      </c>
      <c r="W36" s="36">
        <f t="shared" si="0"/>
        <v>923</v>
      </c>
      <c r="X36" s="36">
        <f t="shared" si="0"/>
        <v>948</v>
      </c>
      <c r="Y36" s="36">
        <f t="shared" si="0"/>
        <v>0</v>
      </c>
      <c r="Z36" s="38">
        <f t="shared" si="0"/>
        <v>0</v>
      </c>
    </row>
    <row r="37" spans="1:26" x14ac:dyDescent="0.25">
      <c r="E37" s="191" t="s">
        <v>73</v>
      </c>
      <c r="F37" s="20">
        <f>'Plow quotes'!M36</f>
        <v>136</v>
      </c>
    </row>
    <row r="38" spans="1:26" x14ac:dyDescent="0.25">
      <c r="E38" s="190" t="s">
        <v>110</v>
      </c>
      <c r="F38" s="20">
        <f>F37/2</f>
        <v>68</v>
      </c>
    </row>
    <row r="39" spans="1:26" x14ac:dyDescent="0.25">
      <c r="E39" s="192"/>
    </row>
  </sheetData>
  <mergeCells count="4">
    <mergeCell ref="H3:N3"/>
    <mergeCell ref="O3:R3"/>
    <mergeCell ref="S3:Z3"/>
    <mergeCell ref="B2:G2"/>
  </mergeCells>
  <pageMargins left="0.5" right="0.4" top="0.5" bottom="0.25" header="0.3" footer="0.3"/>
  <pageSetup scale="74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workbookViewId="0"/>
  </sheetViews>
  <sheetFormatPr defaultRowHeight="14.3" x14ac:dyDescent="0.25"/>
  <cols>
    <col min="1" max="1" width="2.140625" customWidth="1"/>
    <col min="2" max="2" width="25.42578125" customWidth="1"/>
    <col min="3" max="9" width="10" customWidth="1"/>
    <col min="10" max="10" width="10.140625" customWidth="1"/>
  </cols>
  <sheetData>
    <row r="2" spans="2:10" ht="20.7" x14ac:dyDescent="0.25">
      <c r="B2" s="1" t="s">
        <v>37</v>
      </c>
    </row>
    <row r="3" spans="2:10" ht="81.3" x14ac:dyDescent="0.25">
      <c r="B3" s="10"/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42</v>
      </c>
    </row>
    <row r="4" spans="2:10" x14ac:dyDescent="0.25">
      <c r="B4" s="50" t="s">
        <v>44</v>
      </c>
      <c r="C4" s="12"/>
      <c r="D4" s="12"/>
      <c r="E4" s="12"/>
      <c r="F4" s="12"/>
      <c r="G4" s="12"/>
      <c r="H4" s="12"/>
      <c r="I4" s="12"/>
    </row>
    <row r="5" spans="2:10" x14ac:dyDescent="0.25">
      <c r="B5" s="13" t="s">
        <v>45</v>
      </c>
      <c r="C5" s="14">
        <v>1</v>
      </c>
      <c r="D5" s="55">
        <v>2</v>
      </c>
      <c r="E5" s="55">
        <v>3</v>
      </c>
      <c r="F5" s="55">
        <v>4</v>
      </c>
      <c r="G5" s="55">
        <v>5</v>
      </c>
      <c r="H5" s="55">
        <v>6</v>
      </c>
      <c r="I5" s="55">
        <v>7</v>
      </c>
      <c r="J5" s="26" t="s">
        <v>46</v>
      </c>
    </row>
    <row r="6" spans="2:10" x14ac:dyDescent="0.25">
      <c r="B6" s="15" t="s">
        <v>47</v>
      </c>
      <c r="C6" s="16"/>
      <c r="D6" s="56"/>
      <c r="E6" s="56"/>
      <c r="F6" s="56"/>
      <c r="G6" s="56"/>
      <c r="H6" s="56"/>
      <c r="I6" s="56"/>
      <c r="J6" s="57"/>
    </row>
    <row r="7" spans="2:10" x14ac:dyDescent="0.25">
      <c r="B7" s="17" t="s">
        <v>48</v>
      </c>
      <c r="C7" s="58" t="s">
        <v>49</v>
      </c>
      <c r="D7" s="59" t="s">
        <v>49</v>
      </c>
      <c r="E7" s="59" t="s">
        <v>49</v>
      </c>
      <c r="F7" s="59" t="s">
        <v>49</v>
      </c>
      <c r="G7" s="59" t="s">
        <v>49</v>
      </c>
      <c r="H7" s="59" t="s">
        <v>49</v>
      </c>
      <c r="I7" s="59" t="s">
        <v>49</v>
      </c>
      <c r="J7" s="60"/>
    </row>
    <row r="8" spans="2:10" x14ac:dyDescent="0.25">
      <c r="B8" s="17" t="s">
        <v>83</v>
      </c>
      <c r="C8" s="61">
        <v>75</v>
      </c>
      <c r="D8" s="62">
        <v>50</v>
      </c>
      <c r="E8" s="62">
        <v>215</v>
      </c>
      <c r="F8" s="62">
        <v>400</v>
      </c>
      <c r="G8" s="62">
        <v>300</v>
      </c>
      <c r="H8" s="62">
        <v>60</v>
      </c>
      <c r="I8" s="62">
        <v>300</v>
      </c>
      <c r="J8" s="63">
        <f>SUM(C8:I8)</f>
        <v>1400</v>
      </c>
    </row>
    <row r="9" spans="2:10" x14ac:dyDescent="0.25">
      <c r="B9" s="17" t="s">
        <v>84</v>
      </c>
      <c r="C9" s="64">
        <v>75</v>
      </c>
      <c r="D9" s="62">
        <v>125</v>
      </c>
      <c r="E9" s="62">
        <v>340</v>
      </c>
      <c r="F9" s="62">
        <v>740</v>
      </c>
      <c r="G9" s="62">
        <v>1040</v>
      </c>
      <c r="H9" s="62">
        <v>1100</v>
      </c>
      <c r="I9" s="62">
        <v>1400</v>
      </c>
      <c r="J9" s="63">
        <f>SUM(C9:I9)</f>
        <v>4820</v>
      </c>
    </row>
    <row r="10" spans="2:10" x14ac:dyDescent="0.25">
      <c r="B10" s="17" t="s">
        <v>50</v>
      </c>
      <c r="C10" s="58" t="s">
        <v>49</v>
      </c>
      <c r="D10" s="59" t="s">
        <v>49</v>
      </c>
      <c r="E10" s="59" t="s">
        <v>49</v>
      </c>
      <c r="F10" s="59" t="s">
        <v>49</v>
      </c>
      <c r="G10" s="59" t="s">
        <v>49</v>
      </c>
      <c r="H10" s="59" t="s">
        <v>49</v>
      </c>
      <c r="I10" s="59" t="s">
        <v>49</v>
      </c>
      <c r="J10" s="65"/>
    </row>
    <row r="11" spans="2:10" x14ac:dyDescent="0.25">
      <c r="B11" s="17" t="s">
        <v>51</v>
      </c>
      <c r="C11" s="64">
        <f>IF(C10="x", MAX($C9:C9), 0)</f>
        <v>75</v>
      </c>
      <c r="D11" s="62">
        <f>IF(D10="x", MAX($C9:D9), 0)</f>
        <v>125</v>
      </c>
      <c r="E11" s="62">
        <f>IF(E10="x", MAX($C9:E9), 0)</f>
        <v>340</v>
      </c>
      <c r="F11" s="62">
        <f>IF(F10="x", MAX($C9:F9), 0)</f>
        <v>740</v>
      </c>
      <c r="G11" s="62">
        <f>IF(G10="x", MAX($C9:G9), 0)</f>
        <v>1040</v>
      </c>
      <c r="H11" s="62">
        <f>IF(H10="x", MAX($C9:H9), 0)</f>
        <v>1100</v>
      </c>
      <c r="I11" s="62">
        <f>IF(I10="x", MAX($C9:I9), 0)</f>
        <v>1400</v>
      </c>
      <c r="J11" s="63">
        <f>SUM(C11:I11)</f>
        <v>4820</v>
      </c>
    </row>
    <row r="12" spans="2:10" x14ac:dyDescent="0.25">
      <c r="B12" s="17" t="s">
        <v>52</v>
      </c>
      <c r="C12" s="66">
        <f t="shared" ref="C12:I12" si="0">IF(C11/$J11 &gt; 0, ROUND(C11/$J11, 3)+ 0.001, 0)</f>
        <v>1.7000000000000001E-2</v>
      </c>
      <c r="D12" s="67">
        <f t="shared" si="0"/>
        <v>2.7E-2</v>
      </c>
      <c r="E12" s="67">
        <f t="shared" si="0"/>
        <v>7.1999999999999995E-2</v>
      </c>
      <c r="F12" s="67">
        <f t="shared" si="0"/>
        <v>0.155</v>
      </c>
      <c r="G12" s="67">
        <f t="shared" si="0"/>
        <v>0.217</v>
      </c>
      <c r="H12" s="67">
        <f t="shared" si="0"/>
        <v>0.22900000000000001</v>
      </c>
      <c r="I12" s="67">
        <f t="shared" si="0"/>
        <v>0.29099999999999998</v>
      </c>
      <c r="J12" s="68"/>
    </row>
    <row r="13" spans="2:10" x14ac:dyDescent="0.25">
      <c r="B13" s="69" t="s">
        <v>53</v>
      </c>
      <c r="C13" s="16"/>
      <c r="D13" s="56"/>
      <c r="E13" s="56"/>
      <c r="F13" s="56"/>
      <c r="G13" s="56"/>
      <c r="H13" s="56"/>
      <c r="I13" s="56"/>
      <c r="J13" s="57"/>
    </row>
    <row r="14" spans="2:10" x14ac:dyDescent="0.25">
      <c r="B14" s="70" t="s">
        <v>48</v>
      </c>
      <c r="C14" s="58" t="s">
        <v>49</v>
      </c>
      <c r="D14" s="59" t="s">
        <v>49</v>
      </c>
      <c r="E14" s="59" t="s">
        <v>49</v>
      </c>
      <c r="F14" s="59" t="s">
        <v>49</v>
      </c>
      <c r="G14" s="59"/>
      <c r="H14" s="59"/>
      <c r="I14" s="59"/>
      <c r="J14" s="60"/>
    </row>
    <row r="15" spans="2:10" x14ac:dyDescent="0.25">
      <c r="B15" s="70" t="s">
        <v>85</v>
      </c>
      <c r="C15" s="64">
        <v>75</v>
      </c>
      <c r="D15" s="62">
        <v>125</v>
      </c>
      <c r="E15" s="62">
        <v>340</v>
      </c>
      <c r="F15" s="62">
        <v>740</v>
      </c>
      <c r="G15" s="62">
        <v>0</v>
      </c>
      <c r="H15" s="62">
        <v>0</v>
      </c>
      <c r="I15" s="62">
        <v>0</v>
      </c>
      <c r="J15" s="63">
        <f>SUM(C15:I15)</f>
        <v>1280</v>
      </c>
    </row>
    <row r="16" spans="2:10" x14ac:dyDescent="0.25">
      <c r="B16" s="70" t="s">
        <v>50</v>
      </c>
      <c r="C16" s="58" t="s">
        <v>49</v>
      </c>
      <c r="D16" s="59" t="s">
        <v>49</v>
      </c>
      <c r="E16" s="59" t="s">
        <v>49</v>
      </c>
      <c r="F16" s="59" t="s">
        <v>49</v>
      </c>
      <c r="G16" s="59" t="s">
        <v>49</v>
      </c>
      <c r="H16" s="59"/>
      <c r="I16" s="59"/>
      <c r="J16" s="65"/>
    </row>
    <row r="17" spans="2:10" x14ac:dyDescent="0.25">
      <c r="B17" s="70" t="s">
        <v>51</v>
      </c>
      <c r="C17" s="64">
        <f>IF(C16="x", MAX($C15:C15), 0)</f>
        <v>75</v>
      </c>
      <c r="D17" s="62">
        <f>IF(D16="x", MAX($C15:D15), 0)</f>
        <v>125</v>
      </c>
      <c r="E17" s="62">
        <f>IF(E16="x", MAX($C15:E15), 0)</f>
        <v>340</v>
      </c>
      <c r="F17" s="62">
        <f>IF(F16="x", MAX($C15:F15), 0)</f>
        <v>740</v>
      </c>
      <c r="G17" s="62">
        <f>IF(G16="x", MAX($C15:G15), 0)</f>
        <v>740</v>
      </c>
      <c r="H17" s="62">
        <f>IF(H16="x", MAX($C15:H15), 0)</f>
        <v>0</v>
      </c>
      <c r="I17" s="62">
        <f>IF(I16="x", MAX($C15:I15), 0)</f>
        <v>0</v>
      </c>
      <c r="J17" s="63">
        <f>SUM(C17:I17)</f>
        <v>2020</v>
      </c>
    </row>
    <row r="18" spans="2:10" x14ac:dyDescent="0.25">
      <c r="B18" s="70" t="s">
        <v>52</v>
      </c>
      <c r="C18" s="71">
        <f t="shared" ref="C18:I18" si="1">IF(C17/$J17 &gt; 0, ROUND(C17/$J17, 3)+ 0.001, 0)</f>
        <v>3.7999999999999999E-2</v>
      </c>
      <c r="D18" s="72">
        <f t="shared" si="1"/>
        <v>6.3E-2</v>
      </c>
      <c r="E18" s="72">
        <f t="shared" si="1"/>
        <v>0.16900000000000001</v>
      </c>
      <c r="F18" s="72">
        <f t="shared" si="1"/>
        <v>0.36699999999999999</v>
      </c>
      <c r="G18" s="72">
        <f t="shared" si="1"/>
        <v>0.36699999999999999</v>
      </c>
      <c r="H18" s="72">
        <f t="shared" si="1"/>
        <v>0</v>
      </c>
      <c r="I18" s="72">
        <f t="shared" si="1"/>
        <v>0</v>
      </c>
      <c r="J18" s="73"/>
    </row>
    <row r="19" spans="2:10" x14ac:dyDescent="0.25">
      <c r="B19" s="15" t="s">
        <v>54</v>
      </c>
      <c r="C19" s="19"/>
      <c r="D19" s="74"/>
      <c r="E19" s="74"/>
      <c r="F19" s="74"/>
      <c r="G19" s="74"/>
      <c r="H19" s="74"/>
      <c r="I19" s="74"/>
      <c r="J19" s="75"/>
    </row>
    <row r="20" spans="2:10" x14ac:dyDescent="0.25">
      <c r="B20" s="17" t="s">
        <v>48</v>
      </c>
      <c r="C20" s="58" t="s">
        <v>49</v>
      </c>
      <c r="D20" s="59" t="s">
        <v>49</v>
      </c>
      <c r="E20" s="59"/>
      <c r="F20" s="59"/>
      <c r="G20" s="59"/>
      <c r="H20" s="59"/>
      <c r="I20" s="59"/>
      <c r="J20" s="76"/>
    </row>
    <row r="21" spans="2:10" x14ac:dyDescent="0.25">
      <c r="B21" s="17" t="s">
        <v>85</v>
      </c>
      <c r="C21" s="77">
        <v>75</v>
      </c>
      <c r="D21" s="78">
        <v>125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63">
        <f>SUM(C21:I21)</f>
        <v>200</v>
      </c>
    </row>
    <row r="22" spans="2:10" x14ac:dyDescent="0.25">
      <c r="B22" s="17" t="s">
        <v>50</v>
      </c>
      <c r="C22" s="58" t="s">
        <v>49</v>
      </c>
      <c r="D22" s="59" t="s">
        <v>49</v>
      </c>
      <c r="E22" s="59" t="s">
        <v>49</v>
      </c>
      <c r="F22" s="59" t="s">
        <v>49</v>
      </c>
      <c r="G22" s="59" t="s">
        <v>49</v>
      </c>
      <c r="H22" s="59"/>
      <c r="I22" s="59"/>
      <c r="J22" s="79"/>
    </row>
    <row r="23" spans="2:10" x14ac:dyDescent="0.25">
      <c r="B23" s="17" t="s">
        <v>51</v>
      </c>
      <c r="C23" s="77">
        <f>IF(C22="x", MAX($C21:C21), 0)</f>
        <v>75</v>
      </c>
      <c r="D23" s="78">
        <f>IF(D22="x", MAX($C21:D21), 0)</f>
        <v>125</v>
      </c>
      <c r="E23" s="78">
        <f>IF(E22="x", MAX($C21:E21), 0)</f>
        <v>125</v>
      </c>
      <c r="F23" s="78">
        <f>IF(F22="x", MAX($C21:F21), 0)</f>
        <v>125</v>
      </c>
      <c r="G23" s="78">
        <f>IF(G22="x", MAX($C21:G21), 0)</f>
        <v>125</v>
      </c>
      <c r="H23" s="78">
        <f>IF(H22="x", MAX($C21:H21), 0)</f>
        <v>0</v>
      </c>
      <c r="I23" s="78">
        <f>IF(I22="x", MAX($C21:I21), 0)</f>
        <v>0</v>
      </c>
      <c r="J23" s="63">
        <f>SUM(C23:I23)</f>
        <v>575</v>
      </c>
    </row>
    <row r="24" spans="2:10" x14ac:dyDescent="0.25">
      <c r="B24" s="17" t="s">
        <v>52</v>
      </c>
      <c r="C24" s="80">
        <f t="shared" ref="C24:I24" si="2">IF(C23/$J23 &gt; 0, ROUND(C23/$J23, 3)+ 0.001, 0)</f>
        <v>0.13100000000000001</v>
      </c>
      <c r="D24" s="81">
        <f t="shared" si="2"/>
        <v>0.218</v>
      </c>
      <c r="E24" s="81">
        <f t="shared" si="2"/>
        <v>0.218</v>
      </c>
      <c r="F24" s="81">
        <f t="shared" si="2"/>
        <v>0.218</v>
      </c>
      <c r="G24" s="81">
        <f t="shared" si="2"/>
        <v>0.218</v>
      </c>
      <c r="H24" s="81">
        <f t="shared" si="2"/>
        <v>0</v>
      </c>
      <c r="I24" s="81">
        <f t="shared" si="2"/>
        <v>0</v>
      </c>
      <c r="J24" s="82"/>
    </row>
    <row r="25" spans="2:10" x14ac:dyDescent="0.25">
      <c r="B25" s="15" t="s">
        <v>55</v>
      </c>
      <c r="C25" s="19"/>
      <c r="D25" s="74"/>
      <c r="E25" s="74"/>
      <c r="F25" s="74"/>
      <c r="G25" s="74"/>
      <c r="H25" s="74"/>
      <c r="I25" s="74"/>
      <c r="J25" s="75"/>
    </row>
    <row r="26" spans="2:10" x14ac:dyDescent="0.25">
      <c r="B26" s="17" t="s">
        <v>48</v>
      </c>
      <c r="C26" s="58"/>
      <c r="D26" s="59"/>
      <c r="E26" s="59" t="s">
        <v>49</v>
      </c>
      <c r="F26" s="59" t="s">
        <v>49</v>
      </c>
      <c r="G26" s="59"/>
      <c r="H26" s="59"/>
      <c r="I26" s="59"/>
      <c r="J26" s="76"/>
    </row>
    <row r="27" spans="2:10" x14ac:dyDescent="0.25">
      <c r="B27" s="17" t="s">
        <v>83</v>
      </c>
      <c r="C27" s="77">
        <v>0</v>
      </c>
      <c r="D27" s="78">
        <v>0</v>
      </c>
      <c r="E27" s="78">
        <v>175</v>
      </c>
      <c r="F27" s="78">
        <v>250</v>
      </c>
      <c r="G27" s="78">
        <v>0</v>
      </c>
      <c r="H27" s="78">
        <v>0</v>
      </c>
      <c r="I27" s="78">
        <v>0</v>
      </c>
      <c r="J27" s="63">
        <f>SUM(C27:I27)</f>
        <v>425</v>
      </c>
    </row>
    <row r="28" spans="2:10" x14ac:dyDescent="0.25">
      <c r="B28" s="17" t="s">
        <v>85</v>
      </c>
      <c r="C28" s="77">
        <v>0</v>
      </c>
      <c r="D28" s="78">
        <v>0</v>
      </c>
      <c r="E28" s="78">
        <v>175</v>
      </c>
      <c r="F28" s="78">
        <v>425</v>
      </c>
      <c r="G28" s="78">
        <v>0</v>
      </c>
      <c r="H28" s="78">
        <v>0</v>
      </c>
      <c r="I28" s="78">
        <v>0</v>
      </c>
      <c r="J28" s="63">
        <f>SUM(C28:I28)</f>
        <v>600</v>
      </c>
    </row>
    <row r="29" spans="2:10" x14ac:dyDescent="0.25">
      <c r="B29" s="17" t="s">
        <v>50</v>
      </c>
      <c r="C29" s="58"/>
      <c r="D29" s="59"/>
      <c r="E29" s="59" t="s">
        <v>49</v>
      </c>
      <c r="F29" s="59" t="s">
        <v>49</v>
      </c>
      <c r="G29" s="59" t="s">
        <v>49</v>
      </c>
      <c r="H29" s="59"/>
      <c r="I29" s="59"/>
      <c r="J29" s="79"/>
    </row>
    <row r="30" spans="2:10" x14ac:dyDescent="0.25">
      <c r="B30" s="17" t="s">
        <v>51</v>
      </c>
      <c r="C30" s="77">
        <f>IF(C29="x", MAX($C28:C28), 0)</f>
        <v>0</v>
      </c>
      <c r="D30" s="78">
        <f>IF(D29="x", MAX($C28:D28), 0)</f>
        <v>0</v>
      </c>
      <c r="E30" s="78">
        <f>IF(E29="x", MAX($C28:E28), 0)</f>
        <v>175</v>
      </c>
      <c r="F30" s="78">
        <f>IF(F29="x", MAX($C28:F28), 0)</f>
        <v>425</v>
      </c>
      <c r="G30" s="78">
        <f>IF(G29="x", MAX($C28:G28), 0)</f>
        <v>425</v>
      </c>
      <c r="H30" s="78">
        <f>IF(H29="x", MAX($C28:H28), 0)</f>
        <v>0</v>
      </c>
      <c r="I30" s="78">
        <f>IF(I29="x", MAX($C28:I28), 0)</f>
        <v>0</v>
      </c>
      <c r="J30" s="63">
        <f>SUM(C30:I30)</f>
        <v>1025</v>
      </c>
    </row>
    <row r="31" spans="2:10" x14ac:dyDescent="0.25">
      <c r="B31" s="83" t="s">
        <v>52</v>
      </c>
      <c r="C31" s="84">
        <f t="shared" ref="C31:I31" si="3">IF(C30/$J30 &gt; 0, ROUND(C30/$J30, 3)+ 0.001, 0)</f>
        <v>0</v>
      </c>
      <c r="D31" s="85">
        <f t="shared" si="3"/>
        <v>0</v>
      </c>
      <c r="E31" s="85">
        <f t="shared" si="3"/>
        <v>0.17200000000000001</v>
      </c>
      <c r="F31" s="85">
        <f t="shared" si="3"/>
        <v>0.41599999999999998</v>
      </c>
      <c r="G31" s="85">
        <f t="shared" si="3"/>
        <v>0.41599999999999998</v>
      </c>
      <c r="H31" s="85">
        <f t="shared" si="3"/>
        <v>0</v>
      </c>
      <c r="I31" s="85">
        <f t="shared" si="3"/>
        <v>0</v>
      </c>
      <c r="J31" s="86"/>
    </row>
  </sheetData>
  <pageMargins left="0.5" right="0.2" top="0.5" bottom="0.25" header="0" footer="0"/>
  <pageSetup scale="8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0"/>
  <sheetViews>
    <sheetView workbookViewId="0"/>
  </sheetViews>
  <sheetFormatPr defaultRowHeight="14.3" x14ac:dyDescent="0.25"/>
  <cols>
    <col min="1" max="1" width="2.140625" customWidth="1"/>
    <col min="2" max="2" width="10" customWidth="1"/>
    <col min="3" max="3" width="35.42578125" customWidth="1"/>
    <col min="4" max="4" width="9" customWidth="1"/>
    <col min="5" max="5" width="12.42578125" customWidth="1"/>
    <col min="6" max="6" width="70.5703125" customWidth="1"/>
  </cols>
  <sheetData>
    <row r="2" spans="1:6" ht="20.7" x14ac:dyDescent="0.25">
      <c r="B2" s="1" t="s">
        <v>17</v>
      </c>
    </row>
    <row r="3" spans="1:6" s="6" customFormat="1" x14ac:dyDescent="0.25">
      <c r="A3"/>
    </row>
    <row r="4" spans="1:6" s="6" customFormat="1" x14ac:dyDescent="0.25">
      <c r="A4"/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</row>
    <row r="5" spans="1:6" s="6" customFormat="1" ht="85.55" x14ac:dyDescent="0.25">
      <c r="A5"/>
      <c r="B5" s="87">
        <v>1</v>
      </c>
      <c r="C5" s="88" t="s">
        <v>23</v>
      </c>
      <c r="D5" s="88">
        <v>75</v>
      </c>
      <c r="E5" s="88">
        <v>75</v>
      </c>
      <c r="F5" s="89" t="s">
        <v>24</v>
      </c>
    </row>
    <row r="6" spans="1:6" s="6" customFormat="1" ht="74.849999999999994" x14ac:dyDescent="0.25">
      <c r="A6"/>
      <c r="B6" s="90">
        <v>2</v>
      </c>
      <c r="C6" s="91" t="s">
        <v>25</v>
      </c>
      <c r="D6" s="91">
        <v>50</v>
      </c>
      <c r="E6" s="91">
        <f>E5+D6</f>
        <v>125</v>
      </c>
      <c r="F6" s="92" t="s">
        <v>26</v>
      </c>
    </row>
    <row r="7" spans="1:6" s="6" customFormat="1" ht="64.2" x14ac:dyDescent="0.25">
      <c r="A7"/>
      <c r="B7" s="90">
        <v>3</v>
      </c>
      <c r="C7" s="91" t="s">
        <v>27</v>
      </c>
      <c r="D7" s="91">
        <v>215</v>
      </c>
      <c r="E7" s="91">
        <f>E6+D7</f>
        <v>340</v>
      </c>
      <c r="F7" s="92" t="s">
        <v>28</v>
      </c>
    </row>
    <row r="8" spans="1:6" s="6" customFormat="1" ht="53.5" x14ac:dyDescent="0.25">
      <c r="A8"/>
      <c r="B8" s="90">
        <v>4</v>
      </c>
      <c r="C8" s="91" t="s">
        <v>29</v>
      </c>
      <c r="D8" s="91">
        <v>400</v>
      </c>
      <c r="E8" s="91">
        <f t="shared" ref="E8:E11" si="0">E7+D8</f>
        <v>740</v>
      </c>
      <c r="F8" s="92" t="s">
        <v>30</v>
      </c>
    </row>
    <row r="9" spans="1:6" s="6" customFormat="1" ht="42.8" x14ac:dyDescent="0.25">
      <c r="A9"/>
      <c r="B9" s="90">
        <v>5</v>
      </c>
      <c r="C9" s="91" t="s">
        <v>31</v>
      </c>
      <c r="D9" s="91">
        <v>300</v>
      </c>
      <c r="E9" s="91">
        <f t="shared" si="0"/>
        <v>1040</v>
      </c>
      <c r="F9" s="92" t="s">
        <v>32</v>
      </c>
    </row>
    <row r="10" spans="1:6" s="6" customFormat="1" ht="32.1" x14ac:dyDescent="0.25">
      <c r="A10"/>
      <c r="B10" s="90">
        <v>6</v>
      </c>
      <c r="C10" s="91" t="s">
        <v>33</v>
      </c>
      <c r="D10" s="91">
        <v>60</v>
      </c>
      <c r="E10" s="91">
        <f t="shared" si="0"/>
        <v>1100</v>
      </c>
      <c r="F10" s="92" t="s">
        <v>34</v>
      </c>
    </row>
    <row r="11" spans="1:6" s="6" customFormat="1" ht="24.25" x14ac:dyDescent="0.25">
      <c r="A11"/>
      <c r="B11" s="90">
        <v>7</v>
      </c>
      <c r="C11" s="91" t="s">
        <v>35</v>
      </c>
      <c r="D11" s="91">
        <v>300</v>
      </c>
      <c r="E11" s="91">
        <f t="shared" si="0"/>
        <v>1400</v>
      </c>
      <c r="F11" s="92" t="s">
        <v>36</v>
      </c>
    </row>
    <row r="12" spans="1:6" s="6" customFormat="1" ht="13.55" x14ac:dyDescent="0.2">
      <c r="C12" s="8"/>
      <c r="D12" s="8"/>
      <c r="E12" s="8"/>
      <c r="F12" s="8"/>
    </row>
    <row r="13" spans="1:6" s="6" customFormat="1" ht="13.55" x14ac:dyDescent="0.2">
      <c r="C13" s="8"/>
      <c r="D13" s="8"/>
      <c r="E13" s="8"/>
      <c r="F13" s="8"/>
    </row>
    <row r="14" spans="1:6" s="6" customFormat="1" ht="13.55" x14ac:dyDescent="0.2">
      <c r="C14" s="8"/>
      <c r="D14" s="8"/>
      <c r="E14" s="8"/>
      <c r="F14" s="8"/>
    </row>
    <row r="15" spans="1:6" s="6" customFormat="1" ht="13.55" x14ac:dyDescent="0.2">
      <c r="C15" s="8"/>
      <c r="D15" s="8"/>
      <c r="E15" s="8"/>
      <c r="F15" s="8"/>
    </row>
    <row r="16" spans="1:6" s="6" customFormat="1" ht="13.55" x14ac:dyDescent="0.2">
      <c r="C16" s="8"/>
      <c r="D16" s="8"/>
      <c r="E16" s="8"/>
      <c r="F16" s="8"/>
    </row>
    <row r="17" spans="3:6" s="6" customFormat="1" ht="13.55" x14ac:dyDescent="0.2">
      <c r="C17" s="8"/>
      <c r="D17" s="8"/>
      <c r="E17" s="8"/>
      <c r="F17" s="8"/>
    </row>
    <row r="18" spans="3:6" s="6" customFormat="1" ht="13.55" x14ac:dyDescent="0.2">
      <c r="C18" s="8"/>
      <c r="D18" s="8"/>
      <c r="E18" s="8"/>
      <c r="F18" s="8"/>
    </row>
    <row r="19" spans="3:6" s="6" customFormat="1" ht="13.55" x14ac:dyDescent="0.2">
      <c r="C19" s="8"/>
      <c r="D19" s="8"/>
      <c r="E19" s="8"/>
      <c r="F19" s="8"/>
    </row>
    <row r="20" spans="3:6" s="6" customFormat="1" ht="13.55" x14ac:dyDescent="0.2">
      <c r="C20" s="8"/>
      <c r="D20" s="8"/>
      <c r="E20" s="8"/>
      <c r="F20" s="8"/>
    </row>
    <row r="21" spans="3:6" s="6" customFormat="1" ht="13.55" x14ac:dyDescent="0.2">
      <c r="C21" s="8"/>
      <c r="D21" s="8"/>
      <c r="E21" s="8"/>
      <c r="F21" s="8"/>
    </row>
    <row r="22" spans="3:6" s="6" customFormat="1" ht="13.55" x14ac:dyDescent="0.2">
      <c r="C22" s="8"/>
      <c r="D22" s="8"/>
      <c r="E22" s="8"/>
      <c r="F22" s="8"/>
    </row>
    <row r="23" spans="3:6" s="6" customFormat="1" ht="13.55" x14ac:dyDescent="0.2">
      <c r="C23" s="8"/>
      <c r="D23" s="8"/>
      <c r="E23" s="8"/>
      <c r="F23" s="8"/>
    </row>
    <row r="24" spans="3:6" s="6" customFormat="1" ht="13.55" x14ac:dyDescent="0.2">
      <c r="C24" s="8"/>
      <c r="D24" s="8"/>
      <c r="E24" s="8"/>
      <c r="F24" s="8"/>
    </row>
    <row r="25" spans="3:6" s="6" customFormat="1" ht="13.55" x14ac:dyDescent="0.2">
      <c r="C25" s="8"/>
      <c r="D25" s="8"/>
      <c r="E25" s="8"/>
      <c r="F25" s="8"/>
    </row>
    <row r="26" spans="3:6" s="6" customFormat="1" ht="13.55" x14ac:dyDescent="0.2">
      <c r="C26" s="8"/>
      <c r="D26" s="8"/>
      <c r="E26" s="8"/>
      <c r="F26" s="8"/>
    </row>
    <row r="27" spans="3:6" s="6" customFormat="1" ht="13.55" x14ac:dyDescent="0.2">
      <c r="C27" s="8"/>
      <c r="D27" s="8"/>
      <c r="E27" s="8"/>
      <c r="F27" s="8"/>
    </row>
    <row r="28" spans="3:6" s="6" customFormat="1" ht="13.55" x14ac:dyDescent="0.2">
      <c r="C28" s="9"/>
      <c r="D28" s="9"/>
      <c r="E28" s="9"/>
      <c r="F28" s="9"/>
    </row>
    <row r="29" spans="3:6" s="6" customFormat="1" ht="13.55" x14ac:dyDescent="0.2"/>
    <row r="30" spans="3:6" s="6" customFormat="1" ht="13.55" x14ac:dyDescent="0.2"/>
  </sheetData>
  <pageMargins left="0.7" right="0.7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Overview</vt:lpstr>
      <vt:lpstr>Plow quotes</vt:lpstr>
      <vt:lpstr>Costs - 26 proposed</vt:lpstr>
      <vt:lpstr>Costs - all 70% avg</vt:lpstr>
      <vt:lpstr>Costs - full 70% avg</vt:lpstr>
      <vt:lpstr>Costs - 26 lowest pro</vt:lpstr>
      <vt:lpstr>Costs - 19 lowest pro</vt:lpstr>
      <vt:lpstr>Percentages</vt:lpstr>
      <vt:lpstr>Segments</vt:lpstr>
      <vt:lpstr>'Costs - 19 lowest pro'!Print_Area</vt:lpstr>
      <vt:lpstr>'Costs - 26 lowest pro'!Print_Area</vt:lpstr>
      <vt:lpstr>'Costs - 26 proposed'!Print_Area</vt:lpstr>
      <vt:lpstr>Overview!Print_Area</vt:lpstr>
      <vt:lpstr>'Plow quotes'!Print_Area</vt:lpstr>
      <vt:lpstr>Segments!Print_Area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jmc</dc:creator>
  <cp:lastModifiedBy>jmc</cp:lastModifiedBy>
  <cp:lastPrinted>2020-11-18T19:02:46Z</cp:lastPrinted>
  <dcterms:created xsi:type="dcterms:W3CDTF">2019-08-03T13:28:24Z</dcterms:created>
  <dcterms:modified xsi:type="dcterms:W3CDTF">2020-12-05T16:50:03Z</dcterms:modified>
</cp:coreProperties>
</file>